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120" windowHeight="12075"/>
  </bookViews>
  <sheets>
    <sheet name="Φύλλο1" sheetId="1" r:id="rId1"/>
    <sheet name="Φύλλο2" sheetId="2" r:id="rId2"/>
  </sheets>
  <definedNames>
    <definedName name="a" comment="amper">Φύλλο2!$V$3:$AD$18</definedName>
    <definedName name="a3a">Φύλλο2!$V$48:$AA$56</definedName>
    <definedName name="k" comment="kalodio">Φύλλο2!$V$2:$AD$2</definedName>
    <definedName name="K1a">Φύλλο1!$L$29:$U$44</definedName>
    <definedName name="MON" comment="MONADES">Φύλλο1!$W$29:$AD$30</definedName>
    <definedName name="ρ">Φύλλο1!$K$1:$L$12</definedName>
  </definedNames>
  <calcPr calcId="125725"/>
</workbook>
</file>

<file path=xl/calcChain.xml><?xml version="1.0" encoding="utf-8"?>
<calcChain xmlns="http://schemas.openxmlformats.org/spreadsheetml/2006/main">
  <c r="G22" i="1"/>
  <c r="F22"/>
  <c r="AH60" i="2"/>
  <c r="M8"/>
  <c r="C8" i="1"/>
  <c r="C22" s="1"/>
  <c r="E8"/>
  <c r="E22" s="1"/>
  <c r="E14"/>
  <c r="E21"/>
  <c r="N24"/>
  <c r="K22"/>
  <c r="G3"/>
  <c r="B19"/>
  <c r="C28"/>
  <c r="G75" s="1"/>
  <c r="G76"/>
  <c r="G73"/>
  <c r="AD30"/>
  <c r="AC30"/>
  <c r="AB30"/>
  <c r="AA30"/>
  <c r="Z30"/>
  <c r="Y30"/>
  <c r="X30"/>
  <c r="W30"/>
  <c r="E65"/>
  <c r="E64" s="1"/>
  <c r="E71"/>
  <c r="E72" s="1"/>
  <c r="E67"/>
  <c r="E68" s="1"/>
  <c r="F58"/>
  <c r="F51"/>
  <c r="G45"/>
  <c r="G39"/>
  <c r="F39"/>
  <c r="F45"/>
  <c r="G17"/>
  <c r="H17" s="1"/>
  <c r="F17"/>
  <c r="I9"/>
  <c r="H9"/>
  <c r="G9"/>
  <c r="F9"/>
  <c r="H3"/>
  <c r="F3"/>
  <c r="C29" l="1"/>
  <c r="F66" s="1"/>
  <c r="F63"/>
  <c r="F64"/>
  <c r="F65"/>
  <c r="F73"/>
  <c r="F75"/>
  <c r="H33"/>
  <c r="E63"/>
  <c r="F76"/>
  <c r="G33" l="1"/>
  <c r="C20" s="1"/>
  <c r="E25" s="1"/>
  <c r="F25" s="1"/>
  <c r="G25" s="1"/>
  <c r="F84"/>
  <c r="F87" s="1"/>
  <c r="G87" s="1"/>
  <c r="F78"/>
  <c r="F81"/>
  <c r="G81" s="1"/>
  <c r="N25" l="1"/>
  <c r="K23"/>
  <c r="AM4" i="2" s="1"/>
  <c r="J85" i="1"/>
  <c r="I83"/>
  <c r="I87"/>
  <c r="I79"/>
  <c r="I81"/>
  <c r="J79"/>
  <c r="M6" i="2" l="1"/>
  <c r="AG48"/>
  <c r="AH20"/>
  <c r="K28" i="1" s="1"/>
  <c r="AH19" i="2"/>
  <c r="AH18"/>
  <c r="AH17"/>
  <c r="AH16"/>
  <c r="AH15"/>
  <c r="AH14"/>
  <c r="AH13"/>
  <c r="AH12"/>
  <c r="AH11"/>
  <c r="AH10"/>
  <c r="AH9"/>
  <c r="AH8"/>
  <c r="AH7"/>
  <c r="AH6"/>
  <c r="AH5"/>
  <c r="AH4"/>
  <c r="M4" s="1"/>
  <c r="AN4" l="1"/>
  <c r="M3" s="1"/>
  <c r="AG35"/>
  <c r="AG34"/>
  <c r="AG33"/>
  <c r="AG32"/>
  <c r="AG31"/>
  <c r="AG30"/>
  <c r="AG66"/>
  <c r="AG65"/>
  <c r="AG64"/>
  <c r="AG63"/>
  <c r="AG62"/>
  <c r="AG61"/>
  <c r="AH61" l="1"/>
  <c r="AH30"/>
  <c r="M5"/>
  <c r="O8" l="1"/>
  <c r="R26" i="1" s="1"/>
</calcChain>
</file>

<file path=xl/sharedStrings.xml><?xml version="1.0" encoding="utf-8"?>
<sst xmlns="http://schemas.openxmlformats.org/spreadsheetml/2006/main" count="300" uniqueCount="188">
  <si>
    <t>Νόμος του ΟΗΜ</t>
  </si>
  <si>
    <t>U</t>
  </si>
  <si>
    <t>R</t>
  </si>
  <si>
    <t>I</t>
  </si>
  <si>
    <t>l</t>
  </si>
  <si>
    <t>S</t>
  </si>
  <si>
    <t>Αντισταση αγωγού σε ΩΜ</t>
  </si>
  <si>
    <t>ρ</t>
  </si>
  <si>
    <t>Πίνακας ειδικών αντιστάσεων ρ</t>
  </si>
  <si>
    <t>Άργυρος</t>
  </si>
  <si>
    <t>Χαλκός</t>
  </si>
  <si>
    <t>Χρυσός</t>
  </si>
  <si>
    <t>Υδράργυρος</t>
  </si>
  <si>
    <t>Χρωμονικελίνη</t>
  </si>
  <si>
    <t>Γραφίτης</t>
  </si>
  <si>
    <t>20-100</t>
  </si>
  <si>
    <t>Αλουμίνιο</t>
  </si>
  <si>
    <t>Ψευδάργυρος</t>
  </si>
  <si>
    <t>Ορείχαλκος</t>
  </si>
  <si>
    <t>0.07-0.09</t>
  </si>
  <si>
    <t>Σίδηρος</t>
  </si>
  <si>
    <t>0.1-0.2</t>
  </si>
  <si>
    <t>Μόλυβδος</t>
  </si>
  <si>
    <t>Ταση (V)</t>
  </si>
  <si>
    <t>Αντισταση (Ω)</t>
  </si>
  <si>
    <t>Ενταση (Α)</t>
  </si>
  <si>
    <t>Αντίσταση αγωγού</t>
  </si>
  <si>
    <t>Ειδική αντίσταση υλικου</t>
  </si>
  <si>
    <t>Διατομή αγωγού</t>
  </si>
  <si>
    <t>Μήκος αγωγού</t>
  </si>
  <si>
    <t>Πτώση τάσης</t>
  </si>
  <si>
    <t>Αντίσταση κατανάλωσης</t>
  </si>
  <si>
    <t>Ένταση κατανάλωσης</t>
  </si>
  <si>
    <t>ΔUφ 1φ</t>
  </si>
  <si>
    <t>Δuφ</t>
  </si>
  <si>
    <t>ΔUφ 3φ</t>
  </si>
  <si>
    <t>Πτώση τάσης φασική</t>
  </si>
  <si>
    <t>Πτώση τάσης πολική</t>
  </si>
  <si>
    <t>Δuπ</t>
  </si>
  <si>
    <t>Δuπ 3φ</t>
  </si>
  <si>
    <t>Φασική</t>
  </si>
  <si>
    <t>Πολική</t>
  </si>
  <si>
    <t>Ένταση (Α)</t>
  </si>
  <si>
    <t>Διατομή αγωγού mm2</t>
  </si>
  <si>
    <t>Πτώση τάσης φασική (V)</t>
  </si>
  <si>
    <t>Μήκος αγωγού (μ)</t>
  </si>
  <si>
    <t>S 3φ</t>
  </si>
  <si>
    <t>S 1φ</t>
  </si>
  <si>
    <t>Ισχύς</t>
  </si>
  <si>
    <t>P</t>
  </si>
  <si>
    <t>συνφ</t>
  </si>
  <si>
    <t>Uφ</t>
  </si>
  <si>
    <t>Uπ</t>
  </si>
  <si>
    <t>Συντελεστής ισχύος</t>
  </si>
  <si>
    <t>n</t>
  </si>
  <si>
    <t>P 1φ</t>
  </si>
  <si>
    <t>Ρ 3φ</t>
  </si>
  <si>
    <t>Ρ 3φπ</t>
  </si>
  <si>
    <t>I 1φ</t>
  </si>
  <si>
    <t>Ι 3φ</t>
  </si>
  <si>
    <t>Χωριτική αντίσταση Χc</t>
  </si>
  <si>
    <t>Xc</t>
  </si>
  <si>
    <t>C</t>
  </si>
  <si>
    <t xml:space="preserve">Χωριτικότητα </t>
  </si>
  <si>
    <t xml:space="preserve">Συχνότητα </t>
  </si>
  <si>
    <t>f</t>
  </si>
  <si>
    <t>Αντίσταση αυτεπαγωγής</t>
  </si>
  <si>
    <t>XL</t>
  </si>
  <si>
    <t>L</t>
  </si>
  <si>
    <t>Αυτεπαγωγή</t>
  </si>
  <si>
    <t>Συχνότητα</t>
  </si>
  <si>
    <t>Z</t>
  </si>
  <si>
    <t>Συνθετη αντισταση</t>
  </si>
  <si>
    <t>Ωμικη</t>
  </si>
  <si>
    <t>Αυτεπαγωγης</t>
  </si>
  <si>
    <t>Χωριτική</t>
  </si>
  <si>
    <t>Ζ</t>
  </si>
  <si>
    <t>Διόρθωση συντελεστή ισχύος</t>
  </si>
  <si>
    <t>Pα</t>
  </si>
  <si>
    <t>Αεργη ισχυς</t>
  </si>
  <si>
    <t>Ρφ</t>
  </si>
  <si>
    <t>Φαινόμενη ισχυς</t>
  </si>
  <si>
    <t xml:space="preserve">Ρ </t>
  </si>
  <si>
    <t>Ισχυς</t>
  </si>
  <si>
    <t>ημφ</t>
  </si>
  <si>
    <t>U=R*I</t>
  </si>
  <si>
    <t>R=ρ*l/S</t>
  </si>
  <si>
    <t>Δuφ=R*I</t>
  </si>
  <si>
    <t>Δuπ=R*I*1.73</t>
  </si>
  <si>
    <t>Υπολογισμός διατομής με βάση την πτώση τάσης S=(ρ*l*I)/ΔUΦ</t>
  </si>
  <si>
    <t>Ρ=υ*Ι</t>
  </si>
  <si>
    <t>Ρ=ριζα3*Uπ*Ι*η</t>
  </si>
  <si>
    <t>Ρ=3*Uφ*Ι*η</t>
  </si>
  <si>
    <t>Χωριτική αντίσταση Χc=1/C*2πf</t>
  </si>
  <si>
    <t>Αντίσταση αυτεπαγωγής XL=L*2π*f</t>
  </si>
  <si>
    <t>Συνθετη αντίσταση Z=ριζα(R^2+(XL-Xc)^2)</t>
  </si>
  <si>
    <t>Συντελεστής ισχύος συνφ=R/Z</t>
  </si>
  <si>
    <t>XL-Xc</t>
  </si>
  <si>
    <t>εφφ</t>
  </si>
  <si>
    <t>Ραφ=Ρ/συνφ=</t>
  </si>
  <si>
    <t>Ρα=Ρ*εφφ =</t>
  </si>
  <si>
    <t>συνφ1</t>
  </si>
  <si>
    <t>ημφ1</t>
  </si>
  <si>
    <t>εφφ1</t>
  </si>
  <si>
    <t>Αεργη ισχύς πυκνωτή</t>
  </si>
  <si>
    <t>Ρα1</t>
  </si>
  <si>
    <t>Ρα1=Ρ*εφφ1-Ρ*εφφ=</t>
  </si>
  <si>
    <t>1Φ</t>
  </si>
  <si>
    <t xml:space="preserve">3Φ </t>
  </si>
  <si>
    <t>ΤΡΙΦΑΣΙΚΟ</t>
  </si>
  <si>
    <t>ΣΥΝΔΕΣΗ ΤΡΙΓΩΝΟΥ Ic</t>
  </si>
  <si>
    <t>Ic=Pc/Uc</t>
  </si>
  <si>
    <t>ΑΝΑ ΚΛΑΔΟ Pc</t>
  </si>
  <si>
    <t>A</t>
  </si>
  <si>
    <t>Uc πολική τάση λόγο Δ</t>
  </si>
  <si>
    <t>C κάθε κλάδου</t>
  </si>
  <si>
    <t>C=Ic/Uc*2π*f =</t>
  </si>
  <si>
    <t>F (farad)</t>
  </si>
  <si>
    <t>μF</t>
  </si>
  <si>
    <t>ΣΥΝΔΕΣΗ αστερα Ic</t>
  </si>
  <si>
    <t>Icy=Pc/Ucy=</t>
  </si>
  <si>
    <t>Ucy φασική λόγο Υ</t>
  </si>
  <si>
    <t>Α</t>
  </si>
  <si>
    <t>V</t>
  </si>
  <si>
    <t>Cy=Icy/Ucy*2π*f =</t>
  </si>
  <si>
    <t>βαθμοι κελσίου</t>
  </si>
  <si>
    <t>Διατομή S καλωδίου</t>
  </si>
  <si>
    <t>0.75-1</t>
  </si>
  <si>
    <t>Επιτρεπτή πτωση 1-4</t>
  </si>
  <si>
    <t>Σύνολο Α</t>
  </si>
  <si>
    <r>
      <t xml:space="preserve">ΠΙΝΑΚΑΣ ασφαλιση αγωγων </t>
    </r>
    <r>
      <rPr>
        <sz val="11"/>
        <color rgb="FFFF0000"/>
        <rFont val="Calibri"/>
        <family val="2"/>
        <charset val="161"/>
        <scheme val="minor"/>
      </rPr>
      <t>μονοπολικων</t>
    </r>
    <r>
      <rPr>
        <sz val="11"/>
        <color theme="1"/>
        <rFont val="Calibri"/>
        <family val="2"/>
        <charset val="161"/>
        <scheme val="minor"/>
      </rPr>
      <t xml:space="preserve"> γραμμων</t>
    </r>
  </si>
  <si>
    <r>
      <t xml:space="preserve">ΠΙΝΑΚΑΣ ασφαλιση αγωγων </t>
    </r>
    <r>
      <rPr>
        <sz val="11"/>
        <color rgb="FFFF0000"/>
        <rFont val="Calibri"/>
        <family val="2"/>
        <charset val="161"/>
        <scheme val="minor"/>
      </rPr>
      <t>πολυπολικων</t>
    </r>
    <r>
      <rPr>
        <sz val="11"/>
        <color theme="1"/>
        <rFont val="Calibri"/>
        <family val="2"/>
        <charset val="161"/>
        <scheme val="minor"/>
      </rPr>
      <t xml:space="preserve"> γραμμων</t>
    </r>
  </si>
  <si>
    <t xml:space="preserve">Σημείωση: Σε καμμία περίπτωση δεν πρέπει να χρησιμοποιούνται ασφάλειες μεγαλύτερες </t>
  </si>
  <si>
    <t xml:space="preserve">από τις παραπάνω αναφερόμενες μέγιστες εντάσεις. Γι' αυτό το λόγο θα χρησιμοποιού- </t>
  </si>
  <si>
    <t xml:space="preserve">νται ασφάλειες 10Α για μέγιστες εντάσεις μεγαλύτερες από 10Α και μικρότερες από 16Α ή </t>
  </si>
  <si>
    <t xml:space="preserve">16Α για μέγιστες εντάσεις μεγαλύτερες από 16Α και μικρότερες από 20Α κ.ο. </t>
  </si>
  <si>
    <t>Καλώδια 3 αγωγών, μέσα α' εντοιχισμένο σωλήνα</t>
  </si>
  <si>
    <r>
      <t xml:space="preserve">Διατομή αγωγών σε </t>
    </r>
    <r>
      <rPr>
        <sz val="7"/>
        <rFont val="Arial"/>
        <family val="2"/>
        <charset val="161"/>
      </rPr>
      <t xml:space="preserve">mm'                            </t>
    </r>
  </si>
  <si>
    <r>
      <t xml:space="preserve">2 </t>
    </r>
    <r>
      <rPr>
        <sz val="7"/>
        <rFont val="Arial"/>
        <family val="2"/>
        <charset val="161"/>
      </rPr>
      <t xml:space="preserve">αγωγοί με μόνωση </t>
    </r>
    <r>
      <rPr>
        <sz val="7"/>
        <rFont val="Arial"/>
        <family val="2"/>
        <charset val="161"/>
      </rPr>
      <t xml:space="preserve">PVC </t>
    </r>
    <r>
      <rPr>
        <sz val="7"/>
        <rFont val="Arial"/>
        <family val="2"/>
        <charset val="161"/>
      </rPr>
      <t>σ'</t>
    </r>
    <r>
      <rPr>
        <i/>
        <sz val="7"/>
        <rFont val="Arial"/>
        <family val="2"/>
        <charset val="161"/>
      </rPr>
      <t xml:space="preserve"> </t>
    </r>
    <r>
      <rPr>
        <sz val="7"/>
        <rFont val="Arial"/>
        <family val="2"/>
        <charset val="161"/>
      </rPr>
      <t>εντοιχισμένο σωλήνα ή ττολυπολικό καλώδιο μέσα σ' εντοιχισμένο σωλήνα</t>
    </r>
  </si>
  <si>
    <r>
      <t xml:space="preserve">2 αγωγοί με μόνωση </t>
    </r>
    <r>
      <rPr>
        <sz val="7"/>
        <rFont val="Arial"/>
        <family val="2"/>
        <charset val="161"/>
      </rPr>
      <t xml:space="preserve">PVC </t>
    </r>
    <r>
      <rPr>
        <sz val="7"/>
        <rFont val="Arial"/>
        <family val="2"/>
        <charset val="161"/>
      </rPr>
      <t>σ' εντοιχισμένο σωλήνα ή      σ' εντοιχισμένο καλώδιο ή εττίτοιχο καλώδιο 3 αγωγών</t>
    </r>
  </si>
  <si>
    <r>
      <t xml:space="preserve">3 αγωγοί με μόνωση </t>
    </r>
    <r>
      <rPr>
        <sz val="7"/>
        <rFont val="Arial"/>
        <family val="2"/>
        <charset val="161"/>
      </rPr>
      <t xml:space="preserve">PVC </t>
    </r>
    <r>
      <rPr>
        <i/>
        <sz val="7"/>
        <rFont val="Arial"/>
        <family val="2"/>
        <charset val="161"/>
      </rPr>
      <t xml:space="preserve">α' </t>
    </r>
    <r>
      <rPr>
        <sz val="7"/>
        <rFont val="Arial"/>
        <family val="2"/>
        <charset val="161"/>
      </rPr>
      <t xml:space="preserve">εττίτοιχο σωλήνα ή 3 αγωγοί καλωδίου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</t>
    </r>
    <r>
      <rPr>
        <sz val="7"/>
        <rFont val="Arial"/>
        <family val="2"/>
        <charset val="161"/>
      </rPr>
      <t xml:space="preserve">XLPE </t>
    </r>
    <r>
      <rPr>
        <sz val="7"/>
        <rFont val="Arial"/>
        <family val="2"/>
        <charset val="161"/>
      </rPr>
      <t>σ' εντοιχισμένο σωλήνα</t>
    </r>
  </si>
  <si>
    <r>
      <t xml:space="preserve">3 αγωγοί με μόνωση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</t>
    </r>
    <r>
      <rPr>
        <sz val="7"/>
        <rFont val="Arial"/>
        <family val="2"/>
        <charset val="161"/>
      </rPr>
      <t xml:space="preserve">XLPE </t>
    </r>
    <r>
      <rPr>
        <i/>
        <sz val="7"/>
        <rFont val="Arial"/>
        <family val="2"/>
        <charset val="161"/>
      </rPr>
      <t xml:space="preserve">σ' </t>
    </r>
    <r>
      <rPr>
        <sz val="7"/>
        <rFont val="Arial"/>
        <family val="2"/>
        <charset val="161"/>
      </rPr>
      <t xml:space="preserve">εντοιχισμένο σωλήνα ή 2 καλώδια σε σωλήνα ή εττίτοιχο με 3 αγωγούς με μόνωση </t>
    </r>
    <r>
      <rPr>
        <sz val="7"/>
        <rFont val="Arial"/>
        <family val="2"/>
        <charset val="161"/>
      </rPr>
      <t xml:space="preserve">PVC </t>
    </r>
    <r>
      <rPr>
        <sz val="7"/>
        <rFont val="Arial"/>
        <family val="2"/>
        <charset val="161"/>
      </rPr>
      <t xml:space="preserve">ή καλώδιο 3 αγωγών με μόνωση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</t>
    </r>
    <r>
      <rPr>
        <sz val="7"/>
        <rFont val="Arial"/>
        <family val="2"/>
        <charset val="161"/>
      </rPr>
      <t xml:space="preserve">XLPE.                                                                                     </t>
    </r>
  </si>
  <si>
    <r>
      <t xml:space="preserve">Εττίτοιχο καλώδιο 2 αγωγών με μόνωση </t>
    </r>
    <r>
      <rPr>
        <sz val="7"/>
        <rFont val="Arial"/>
        <family val="2"/>
        <charset val="161"/>
      </rPr>
      <t xml:space="preserve">PVC </t>
    </r>
    <r>
      <rPr>
        <sz val="7"/>
        <rFont val="Arial"/>
        <family val="2"/>
        <charset val="161"/>
      </rPr>
      <t xml:space="preserve">ή εντοιχισμένο 2 αγωγών με μόνωση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</t>
    </r>
    <r>
      <rPr>
        <sz val="7"/>
        <rFont val="Arial"/>
        <family val="2"/>
        <charset val="161"/>
      </rPr>
      <t xml:space="preserve">XLPE </t>
    </r>
    <r>
      <rPr>
        <sz val="7"/>
        <rFont val="Arial"/>
        <family val="2"/>
        <charset val="161"/>
      </rPr>
      <t>ή το ίδιο καλώδιο 3 αγωγών επίτοιχο.</t>
    </r>
  </si>
  <si>
    <r>
      <t xml:space="preserve">Αγωγοί με μόνωση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</t>
    </r>
    <r>
      <rPr>
        <sz val="7"/>
        <rFont val="Arial"/>
        <family val="2"/>
        <charset val="161"/>
      </rPr>
      <t xml:space="preserve">XLPE </t>
    </r>
    <r>
      <rPr>
        <sz val="7"/>
        <rFont val="Arial"/>
        <family val="2"/>
        <charset val="161"/>
      </rPr>
      <t xml:space="preserve">με 3 αγωγούς μέσα σε 1 εττίτοιχο εξωτερικό (ορατό) σωλήνα                 </t>
    </r>
  </si>
  <si>
    <r>
      <t xml:space="preserve">Καλώδιο εττίτοιχο με 3 αγωγούς με μόνωση </t>
    </r>
    <r>
      <rPr>
        <sz val="7"/>
        <rFont val="Arial"/>
        <family val="2"/>
        <charset val="161"/>
      </rPr>
      <t xml:space="preserve">EPR </t>
    </r>
    <r>
      <rPr>
        <sz val="7"/>
        <rFont val="Arial"/>
        <family val="2"/>
        <charset val="161"/>
      </rPr>
      <t xml:space="preserve">ή       </t>
    </r>
    <r>
      <rPr>
        <sz val="7"/>
        <rFont val="Arial"/>
        <family val="2"/>
        <charset val="161"/>
      </rPr>
      <t xml:space="preserve">XLPE </t>
    </r>
    <r>
      <rPr>
        <sz val="7"/>
        <rFont val="Arial"/>
        <family val="2"/>
        <charset val="161"/>
      </rPr>
      <t xml:space="preserve">σε ορατή επίτοιχη γραμμή ή σε ορατό εττίτοιχο σωλήνα ή 2 αγωγούς σ' εττίτοιχο σωλήνα              </t>
    </r>
  </si>
  <si>
    <t>Πινακας 52-Κ1α</t>
  </si>
  <si>
    <t>n(NANO)</t>
  </si>
  <si>
    <t>p(PICO)</t>
  </si>
  <si>
    <t>μ(MICRO)</t>
  </si>
  <si>
    <t>m(MILLI)</t>
  </si>
  <si>
    <t>k(KILO)</t>
  </si>
  <si>
    <t>M(MEGA)</t>
  </si>
  <si>
    <t>G(GIGA)</t>
  </si>
  <si>
    <t>T(TERA)</t>
  </si>
  <si>
    <r>
      <t xml:space="preserve">Φασική τάση </t>
    </r>
    <r>
      <rPr>
        <b/>
        <i/>
        <u/>
        <sz val="11"/>
        <color theme="1"/>
        <rFont val="Calibri"/>
        <family val="2"/>
        <charset val="161"/>
        <scheme val="minor"/>
      </rPr>
      <t>Volt</t>
    </r>
  </si>
  <si>
    <r>
      <t>Ένταση</t>
    </r>
    <r>
      <rPr>
        <b/>
        <i/>
        <u/>
        <sz val="11"/>
        <color theme="1"/>
        <rFont val="Calibri"/>
        <family val="2"/>
        <charset val="161"/>
        <scheme val="minor"/>
      </rPr>
      <t xml:space="preserve"> Amp</t>
    </r>
  </si>
  <si>
    <r>
      <t xml:space="preserve">Πολική τάση </t>
    </r>
    <r>
      <rPr>
        <b/>
        <i/>
        <u/>
        <sz val="11"/>
        <color theme="1"/>
        <rFont val="Calibri"/>
        <family val="2"/>
        <charset val="161"/>
        <scheme val="minor"/>
      </rPr>
      <t>Volt</t>
    </r>
  </si>
  <si>
    <t>Watt</t>
  </si>
  <si>
    <t>VAR</t>
  </si>
  <si>
    <t>Μονάδα</t>
  </si>
  <si>
    <r>
      <t xml:space="preserve">Ισχύς </t>
    </r>
    <r>
      <rPr>
        <b/>
        <i/>
        <u/>
        <sz val="20"/>
        <color theme="1"/>
        <rFont val="Calibri"/>
        <family val="2"/>
        <charset val="161"/>
        <scheme val="minor"/>
      </rPr>
      <t>Watt</t>
    </r>
  </si>
  <si>
    <t>Επιλογή 1-1φ , 2-3φ</t>
  </si>
  <si>
    <t>ΠΡΟΣΟΧΗ ΣΤΗΝ ΕΠΙΛΟΓΗ 1Φ,3Φ</t>
  </si>
  <si>
    <t>ΕΙΣΑΓΩΓΗ ΙΣΧΥΣ ΣΕ WATT</t>
  </si>
  <si>
    <t xml:space="preserve">ΠΡΟΣΟΧΗ ΣΤΗΝ ΕΠΙΛΟΓΗ ΒΟΗΘ. ΜΟΝΑΔΩΝ </t>
  </si>
  <si>
    <r>
      <t xml:space="preserve">ΕΠΙΛΟΓΗ ΒΟΗΘΗΤΙΚΩΝ ΜΟΝΑΔΩΝ 1 ΕΩΣ 8   για μονάδα πατήστε </t>
    </r>
    <r>
      <rPr>
        <b/>
        <sz val="14"/>
        <color rgb="FFFF0000"/>
        <rFont val="Calibri"/>
        <family val="2"/>
        <charset val="161"/>
        <scheme val="minor"/>
      </rPr>
      <t xml:space="preserve">9 </t>
    </r>
    <r>
      <rPr>
        <sz val="11"/>
        <color rgb="FFFF0000"/>
        <rFont val="Calibri"/>
        <family val="2"/>
        <charset val="161"/>
        <scheme val="minor"/>
      </rPr>
      <t xml:space="preserve">                                                    (1-p,2-n,3-μ,4-m,5-k,6-M,7-G,8-T,9-Μον)</t>
    </r>
  </si>
  <si>
    <t>Επιθυμητός Συντελεστης ισχύος</t>
  </si>
  <si>
    <t>Υπάρχων συντ. ισχύος</t>
  </si>
  <si>
    <t>Βαθμός απόδοσης &lt;=1</t>
  </si>
  <si>
    <t>2  αγωγοί με μόνωση EPR ή XLPE σ' επίτοιχο σωλήνα ή σ' επίτοιχο καλώδιο</t>
  </si>
  <si>
    <r>
      <t xml:space="preserve">2 </t>
    </r>
    <r>
      <rPr>
        <sz val="7"/>
        <rFont val="Arial"/>
        <family val="2"/>
        <charset val="161"/>
      </rPr>
      <t>αγωγοί με μόνωση PVC σ'</t>
    </r>
    <r>
      <rPr>
        <i/>
        <sz val="7"/>
        <rFont val="Arial"/>
        <family val="2"/>
        <charset val="161"/>
      </rPr>
      <t xml:space="preserve"> </t>
    </r>
    <r>
      <rPr>
        <sz val="7"/>
        <rFont val="Arial"/>
        <family val="2"/>
        <charset val="161"/>
      </rPr>
      <t>εντοιχισμένο σωλήνα ή πολυπολικό καλώδιο μέσα σ' εντοιχισμένο σωλήνα</t>
    </r>
  </si>
  <si>
    <t>2 αγωγοί με μόνωση PVC σ' εντοιχισμένο σωλήνα ή      σ' εντοιχισμένο καλώδιο ή επίτοιχο καλώδιο 3 αγωγών</t>
  </si>
  <si>
    <r>
      <t>3 αγωγοί με μόνωση PVC σ</t>
    </r>
    <r>
      <rPr>
        <i/>
        <sz val="7"/>
        <rFont val="Arial"/>
        <family val="2"/>
        <charset val="161"/>
      </rPr>
      <t xml:space="preserve">' </t>
    </r>
    <r>
      <rPr>
        <sz val="7"/>
        <rFont val="Arial"/>
        <family val="2"/>
        <charset val="161"/>
      </rPr>
      <t>επίτοιχο σωλήνα ή 3 αγωγοί καλωδίου EPR ή XLPE σ' εντοιχισμένο σωλήνα</t>
    </r>
  </si>
  <si>
    <r>
      <t xml:space="preserve">3 αγωγοί με μόνωση EPR ή XLPE </t>
    </r>
    <r>
      <rPr>
        <i/>
        <sz val="7"/>
        <rFont val="Arial"/>
        <family val="2"/>
        <charset val="161"/>
      </rPr>
      <t xml:space="preserve">σ' </t>
    </r>
    <r>
      <rPr>
        <sz val="7"/>
        <rFont val="Arial"/>
        <family val="2"/>
        <charset val="161"/>
      </rPr>
      <t xml:space="preserve">εντοιχισμένο σωλήνα ή 2 καλώδια σε σωλήνα ή επίτοιχο με 3 αγωγούς με μόνωση PVC ή καλώδιο 3 αγωγών με μόνωση EPR ή XLPE.                                                                                     </t>
    </r>
  </si>
  <si>
    <t>Ετπίτοιχο καλώδιο 2 αγωγών με μόνωση PVC ή εντοιχισμένο 2 αγωγών με μόνωση EPR ή XLPE ή το ίδιο καλώδιο 3 αγωγών επίτοιχο.</t>
  </si>
  <si>
    <t xml:space="preserve">Αγωγοί με μόνωση EPR ή XLPE με 3 αγωγούς μέσα σε 1 επίτοιχο εξωτερικό (ορατό) σωλήνα                 </t>
  </si>
  <si>
    <t xml:space="preserve">Καλώδιο επίτοιχο με 3 αγωγούς με μόνωση EPR ή       XLPE σε ορατή επίτοιχη γραμμή ή σε ορατό επίτοιχο σωλήνα ή 2 αγωγούς σ' επίτοιχο σωλήνα              </t>
  </si>
  <si>
    <t>Διατομη βαση Δuφ S</t>
  </si>
  <si>
    <t>Ενταση βαση επιθυμιτης ισχυος A</t>
  </si>
  <si>
    <t>Επιλογη αγωγων βαση της μονωσης και τον αριθμο ενεργων αγωγων</t>
  </si>
  <si>
    <t>Επιλογή αγωγών πολυπολικών ή μονοπολικών</t>
  </si>
  <si>
    <t>πολυπολικες γραμμες</t>
  </si>
  <si>
    <t>μονοπολικες γραμμες</t>
  </si>
  <si>
    <t>3 αγωγοί με μόνωση PVC σ' επίτοιχο σωλήνα ή 3 αγωγοί καλωδίου EPR ή XLPE σ' εντοιχισμένο σωλήνα</t>
  </si>
  <si>
    <t>Διατομη με βαση την Ενταση Α</t>
  </si>
  <si>
    <t>Eνταση βαση επιλογης αγωγων σε σχεση με την πτωση τασης</t>
  </si>
  <si>
    <t>A2</t>
  </si>
  <si>
    <t>S=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</si>
</sst>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7"/>
      <name val="Arial"/>
      <family val="2"/>
      <charset val="161"/>
    </font>
    <font>
      <i/>
      <sz val="7"/>
      <name val="Arial"/>
      <family val="2"/>
      <charset val="161"/>
    </font>
    <font>
      <u/>
      <sz val="11"/>
      <color theme="10"/>
      <name val="Calibri"/>
      <family val="2"/>
      <charset val="161"/>
    </font>
    <font>
      <sz val="20"/>
      <color theme="1"/>
      <name val="Calibri"/>
      <family val="2"/>
      <charset val="161"/>
      <scheme val="minor"/>
    </font>
    <font>
      <i/>
      <u/>
      <sz val="20"/>
      <color theme="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u/>
      <sz val="20"/>
      <color theme="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i/>
      <u/>
      <sz val="11"/>
      <color rgb="FFFF0000"/>
      <name val="Calibri"/>
      <family val="2"/>
      <charset val="161"/>
      <scheme val="minor"/>
    </font>
    <font>
      <b/>
      <i/>
      <u/>
      <sz val="20"/>
      <color rgb="FFFF0000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4"/>
      <color rgb="FFFF0000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8" borderId="0" xfId="0" applyFill="1"/>
    <xf numFmtId="9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0" fontId="0" fillId="9" borderId="0" xfId="0" applyFill="1"/>
    <xf numFmtId="0" fontId="0" fillId="6" borderId="0" xfId="0" applyFill="1" applyAlignment="1">
      <alignment horizontal="right" vertical="center"/>
    </xf>
    <xf numFmtId="0" fontId="1" fillId="8" borderId="9" xfId="0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textRotation="90"/>
    </xf>
    <xf numFmtId="0" fontId="0" fillId="8" borderId="9" xfId="0" applyFill="1" applyBorder="1"/>
    <xf numFmtId="0" fontId="0" fillId="8" borderId="8" xfId="0" applyFill="1" applyBorder="1" applyAlignment="1">
      <alignment horizontal="left" vertical="center"/>
    </xf>
    <xf numFmtId="0" fontId="0" fillId="8" borderId="0" xfId="0" applyFill="1" applyBorder="1" applyAlignment="1">
      <alignment horizontal="right" vertical="center"/>
    </xf>
    <xf numFmtId="0" fontId="5" fillId="8" borderId="1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 vertical="center"/>
    </xf>
    <xf numFmtId="0" fontId="1" fillId="11" borderId="0" xfId="0" applyFont="1" applyFill="1"/>
    <xf numFmtId="0" fontId="11" fillId="11" borderId="0" xfId="0" applyFont="1" applyFill="1"/>
    <xf numFmtId="0" fontId="0" fillId="11" borderId="0" xfId="0" applyFill="1"/>
    <xf numFmtId="0" fontId="12" fillId="11" borderId="0" xfId="0" applyFont="1" applyFill="1"/>
    <xf numFmtId="0" fontId="14" fillId="11" borderId="0" xfId="0" applyFont="1" applyFill="1" applyAlignment="1">
      <alignment horizontal="center" vertical="center" textRotation="90"/>
    </xf>
    <xf numFmtId="0" fontId="0" fillId="12" borderId="0" xfId="0" applyFill="1"/>
    <xf numFmtId="0" fontId="0" fillId="12" borderId="10" xfId="0" applyFill="1" applyBorder="1" applyAlignment="1">
      <alignment horizontal="right" vertical="center"/>
    </xf>
    <xf numFmtId="0" fontId="0" fillId="12" borderId="11" xfId="0" applyFill="1" applyBorder="1" applyAlignment="1">
      <alignment horizontal="left" vertical="center"/>
    </xf>
    <xf numFmtId="0" fontId="0" fillId="12" borderId="4" xfId="0" applyFill="1" applyBorder="1" applyAlignment="1">
      <alignment horizontal="right" vertical="center"/>
    </xf>
    <xf numFmtId="0" fontId="0" fillId="12" borderId="5" xfId="0" applyFill="1" applyBorder="1" applyAlignment="1">
      <alignment horizontal="left" vertical="center"/>
    </xf>
    <xf numFmtId="0" fontId="0" fillId="8" borderId="1" xfId="0" applyFill="1" applyBorder="1" applyAlignment="1">
      <alignment horizontal="right" vertical="center"/>
    </xf>
    <xf numFmtId="0" fontId="0" fillId="8" borderId="3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 textRotation="90"/>
    </xf>
    <xf numFmtId="0" fontId="9" fillId="8" borderId="9" xfId="1" applyFont="1" applyFill="1" applyBorder="1" applyAlignment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0" fillId="0" borderId="0" xfId="0" applyProtection="1"/>
    <xf numFmtId="0" fontId="0" fillId="8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0" borderId="13" xfId="0" applyBorder="1" applyProtection="1">
      <protection locked="0"/>
    </xf>
    <xf numFmtId="0" fontId="0" fillId="2" borderId="13" xfId="0" applyFill="1" applyBorder="1"/>
    <xf numFmtId="0" fontId="0" fillId="6" borderId="13" xfId="0" applyFill="1" applyBorder="1"/>
    <xf numFmtId="0" fontId="0" fillId="8" borderId="13" xfId="0" applyFill="1" applyBorder="1"/>
    <xf numFmtId="0" fontId="0" fillId="6" borderId="13" xfId="0" applyFill="1" applyBorder="1" applyAlignment="1">
      <alignment horizontal="right"/>
    </xf>
    <xf numFmtId="9" fontId="0" fillId="11" borderId="13" xfId="0" applyNumberForma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7" xfId="0" applyFill="1" applyBorder="1" applyAlignment="1">
      <alignment horizontal="right" vertical="center"/>
    </xf>
    <xf numFmtId="0" fontId="0" fillId="6" borderId="13" xfId="0" applyFill="1" applyBorder="1" applyProtection="1">
      <protection locked="0"/>
    </xf>
    <xf numFmtId="0" fontId="2" fillId="9" borderId="1" xfId="0" applyNumberFormat="1" applyFont="1" applyFill="1" applyBorder="1" applyAlignment="1" applyProtection="1">
      <alignment horizontal="center" vertical="center" textRotation="90"/>
    </xf>
    <xf numFmtId="0" fontId="2" fillId="8" borderId="14" xfId="0" applyNumberFormat="1" applyFont="1" applyFill="1" applyBorder="1" applyAlignment="1" applyProtection="1">
      <alignment horizontal="center" vertical="center" textRotation="90"/>
    </xf>
    <xf numFmtId="0" fontId="3" fillId="8" borderId="14" xfId="0" applyNumberFormat="1" applyFont="1" applyFill="1" applyBorder="1" applyAlignment="1" applyProtection="1">
      <alignment horizontal="center" vertical="center" textRotation="90" wrapText="1"/>
    </xf>
    <xf numFmtId="0" fontId="2" fillId="8" borderId="14" xfId="0" applyNumberFormat="1" applyFont="1" applyFill="1" applyBorder="1" applyAlignment="1" applyProtection="1">
      <alignment horizontal="center" vertical="center" textRotation="90" wrapText="1"/>
    </xf>
    <xf numFmtId="0" fontId="2" fillId="8" borderId="15" xfId="0" applyNumberFormat="1" applyFont="1" applyFill="1" applyBorder="1" applyAlignment="1" applyProtection="1">
      <alignment horizontal="center" vertical="center" textRotation="90" wrapText="1"/>
    </xf>
    <xf numFmtId="0" fontId="3" fillId="8" borderId="16" xfId="0" applyNumberFormat="1" applyFont="1" applyFill="1" applyBorder="1" applyAlignment="1" applyProtection="1">
      <alignment horizontal="center" vertical="center" textRotation="90" wrapText="1"/>
    </xf>
    <xf numFmtId="0" fontId="0" fillId="9" borderId="13" xfId="0" applyFill="1" applyBorder="1"/>
    <xf numFmtId="0" fontId="0" fillId="13" borderId="13" xfId="0" applyFill="1" applyBorder="1"/>
    <xf numFmtId="0" fontId="0" fillId="11" borderId="9" xfId="0" applyFill="1" applyBorder="1"/>
    <xf numFmtId="0" fontId="0" fillId="11" borderId="11" xfId="0" applyFill="1" applyBorder="1"/>
    <xf numFmtId="0" fontId="0" fillId="7" borderId="11" xfId="0" applyFill="1" applyBorder="1"/>
    <xf numFmtId="0" fontId="0" fillId="0" borderId="10" xfId="0" applyBorder="1"/>
    <xf numFmtId="0" fontId="0" fillId="0" borderId="0" xfId="0" applyAlignment="1">
      <alignment horizontal="left" indent="1"/>
    </xf>
    <xf numFmtId="0" fontId="0" fillId="11" borderId="13" xfId="0" applyFill="1" applyBorder="1"/>
    <xf numFmtId="0" fontId="4" fillId="11" borderId="13" xfId="1" applyFill="1" applyBorder="1" applyAlignment="1" applyProtection="1"/>
    <xf numFmtId="0" fontId="0" fillId="11" borderId="13" xfId="0" applyFill="1" applyBorder="1" applyProtection="1"/>
    <xf numFmtId="0" fontId="0" fillId="0" borderId="0" xfId="0" applyBorder="1"/>
    <xf numFmtId="0" fontId="0" fillId="7" borderId="13" xfId="0" applyFill="1" applyBorder="1" applyProtection="1">
      <protection locked="0"/>
    </xf>
    <xf numFmtId="0" fontId="0" fillId="7" borderId="0" xfId="0" applyFill="1" applyBorder="1"/>
    <xf numFmtId="0" fontId="0" fillId="7" borderId="13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26" xfId="0" applyFill="1" applyBorder="1" applyProtection="1">
      <protection locked="0"/>
    </xf>
    <xf numFmtId="0" fontId="0" fillId="7" borderId="26" xfId="0" applyFill="1" applyBorder="1"/>
    <xf numFmtId="0" fontId="0" fillId="7" borderId="27" xfId="0" applyFill="1" applyBorder="1"/>
    <xf numFmtId="0" fontId="0" fillId="7" borderId="4" xfId="0" applyFill="1" applyBorder="1"/>
    <xf numFmtId="0" fontId="0" fillId="7" borderId="28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29" xfId="0" applyFill="1" applyBorder="1" applyProtection="1">
      <protection locked="0"/>
    </xf>
    <xf numFmtId="0" fontId="0" fillId="7" borderId="8" xfId="0" applyFill="1" applyBorder="1"/>
    <xf numFmtId="0" fontId="0" fillId="7" borderId="10" xfId="0" applyFill="1" applyBorder="1"/>
    <xf numFmtId="0" fontId="0" fillId="7" borderId="30" xfId="0" applyFill="1" applyBorder="1"/>
    <xf numFmtId="0" fontId="0" fillId="0" borderId="31" xfId="0" applyBorder="1"/>
    <xf numFmtId="0" fontId="0" fillId="0" borderId="1" xfId="0" applyBorder="1"/>
    <xf numFmtId="0" fontId="0" fillId="0" borderId="3" xfId="0" applyBorder="1"/>
    <xf numFmtId="0" fontId="0" fillId="11" borderId="4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5" borderId="2" xfId="0" applyFill="1" applyBorder="1" applyProtection="1">
      <protection locked="0"/>
    </xf>
    <xf numFmtId="0" fontId="0" fillId="15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16" borderId="1" xfId="0" applyFill="1" applyBorder="1"/>
    <xf numFmtId="0" fontId="0" fillId="16" borderId="2" xfId="0" applyFill="1" applyBorder="1"/>
    <xf numFmtId="0" fontId="0" fillId="16" borderId="3" xfId="0" applyFill="1" applyBorder="1"/>
    <xf numFmtId="0" fontId="0" fillId="15" borderId="4" xfId="0" applyFill="1" applyBorder="1"/>
    <xf numFmtId="0" fontId="0" fillId="15" borderId="0" xfId="0" applyFill="1" applyBorder="1"/>
    <xf numFmtId="0" fontId="0" fillId="15" borderId="13" xfId="0" applyFill="1" applyBorder="1" applyProtection="1">
      <protection locked="0"/>
    </xf>
    <xf numFmtId="0" fontId="0" fillId="15" borderId="6" xfId="0" applyFill="1" applyBorder="1"/>
    <xf numFmtId="0" fontId="0" fillId="15" borderId="7" xfId="0" applyFill="1" applyBorder="1"/>
    <xf numFmtId="0" fontId="0" fillId="15" borderId="29" xfId="0" applyFill="1" applyBorder="1" applyProtection="1">
      <protection locked="0"/>
    </xf>
    <xf numFmtId="0" fontId="0" fillId="15" borderId="8" xfId="0" applyFill="1" applyBorder="1"/>
    <xf numFmtId="0" fontId="0" fillId="15" borderId="13" xfId="0" applyFill="1" applyBorder="1"/>
    <xf numFmtId="0" fontId="0" fillId="14" borderId="10" xfId="0" applyFill="1" applyBorder="1"/>
    <xf numFmtId="0" fontId="0" fillId="14" borderId="31" xfId="0" applyFill="1" applyBorder="1"/>
    <xf numFmtId="0" fontId="0" fillId="14" borderId="11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0" xfId="0" applyFill="1" applyBorder="1"/>
    <xf numFmtId="9" fontId="0" fillId="14" borderId="0" xfId="0" applyNumberFormat="1" applyFill="1" applyBorder="1"/>
    <xf numFmtId="0" fontId="0" fillId="14" borderId="22" xfId="0" applyFill="1" applyBorder="1"/>
    <xf numFmtId="0" fontId="0" fillId="14" borderId="21" xfId="0" applyFill="1" applyBorder="1"/>
    <xf numFmtId="0" fontId="0" fillId="14" borderId="13" xfId="0" applyFill="1" applyBorder="1" applyProtection="1">
      <protection locked="0"/>
    </xf>
    <xf numFmtId="0" fontId="0" fillId="14" borderId="23" xfId="0" applyFill="1" applyBorder="1"/>
    <xf numFmtId="0" fontId="0" fillId="14" borderId="24" xfId="0" applyFill="1" applyBorder="1"/>
    <xf numFmtId="0" fontId="0" fillId="14" borderId="24" xfId="0" applyFill="1" applyBorder="1" applyProtection="1">
      <protection locked="0"/>
    </xf>
    <xf numFmtId="0" fontId="0" fillId="14" borderId="25" xfId="0" applyFill="1" applyBorder="1"/>
    <xf numFmtId="0" fontId="0" fillId="14" borderId="13" xfId="0" applyFill="1" applyBorder="1"/>
    <xf numFmtId="0" fontId="0" fillId="14" borderId="18" xfId="0" applyFill="1" applyBorder="1" applyProtection="1">
      <protection locked="0"/>
    </xf>
    <xf numFmtId="0" fontId="0" fillId="5" borderId="10" xfId="0" applyFill="1" applyBorder="1"/>
    <xf numFmtId="0" fontId="0" fillId="5" borderId="11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9" xfId="0" applyFill="1" applyBorder="1" applyProtection="1">
      <protection locked="0"/>
    </xf>
    <xf numFmtId="0" fontId="0" fillId="5" borderId="8" xfId="0" applyFill="1" applyBorder="1"/>
    <xf numFmtId="0" fontId="0" fillId="5" borderId="18" xfId="0" applyFill="1" applyBorder="1" applyProtection="1">
      <protection locked="0"/>
    </xf>
    <xf numFmtId="0" fontId="0" fillId="5" borderId="13" xfId="0" applyFill="1" applyBorder="1"/>
    <xf numFmtId="0" fontId="0" fillId="16" borderId="4" xfId="0" applyFill="1" applyBorder="1"/>
    <xf numFmtId="0" fontId="0" fillId="16" borderId="0" xfId="0" applyFill="1" applyBorder="1"/>
    <xf numFmtId="0" fontId="0" fillId="16" borderId="0" xfId="0" applyFill="1" applyBorder="1" applyProtection="1">
      <protection locked="0"/>
    </xf>
    <xf numFmtId="0" fontId="0" fillId="16" borderId="6" xfId="0" applyFill="1" applyBorder="1"/>
    <xf numFmtId="0" fontId="0" fillId="16" borderId="7" xfId="0" applyFill="1" applyBorder="1"/>
    <xf numFmtId="0" fontId="0" fillId="16" borderId="29" xfId="0" applyFill="1" applyBorder="1" applyProtection="1">
      <protection locked="0"/>
    </xf>
    <xf numFmtId="0" fontId="0" fillId="16" borderId="8" xfId="0" applyFill="1" applyBorder="1"/>
    <xf numFmtId="0" fontId="0" fillId="16" borderId="18" xfId="0" applyFill="1" applyBorder="1" applyProtection="1">
      <protection locked="0"/>
    </xf>
    <xf numFmtId="0" fontId="0" fillId="16" borderId="13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0" xfId="0" applyFill="1" applyBorder="1"/>
    <xf numFmtId="0" fontId="0" fillId="10" borderId="0" xfId="0" applyFill="1" applyBorder="1" applyProtection="1">
      <protection locked="0"/>
    </xf>
    <xf numFmtId="0" fontId="0" fillId="10" borderId="5" xfId="0" applyFill="1" applyBorder="1"/>
    <xf numFmtId="0" fontId="0" fillId="10" borderId="13" xfId="0" applyFill="1" applyBorder="1" applyProtection="1">
      <protection locked="0"/>
    </xf>
    <xf numFmtId="0" fontId="0" fillId="10" borderId="6" xfId="0" applyFill="1" applyBorder="1"/>
    <xf numFmtId="0" fontId="0" fillId="10" borderId="7" xfId="0" applyFill="1" applyBorder="1"/>
    <xf numFmtId="0" fontId="0" fillId="10" borderId="29" xfId="0" applyFill="1" applyBorder="1" applyProtection="1">
      <protection locked="0"/>
    </xf>
    <xf numFmtId="0" fontId="0" fillId="10" borderId="8" xfId="0" applyFill="1" applyBorder="1"/>
    <xf numFmtId="0" fontId="0" fillId="10" borderId="1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10" borderId="13" xfId="0" applyFill="1" applyBorder="1" applyAlignment="1">
      <alignment horizontal="center" vertical="center"/>
    </xf>
    <xf numFmtId="0" fontId="0" fillId="17" borderId="1" xfId="0" applyFill="1" applyBorder="1"/>
    <xf numFmtId="0" fontId="0" fillId="17" borderId="2" xfId="0" applyFill="1" applyBorder="1"/>
    <xf numFmtId="0" fontId="0" fillId="17" borderId="3" xfId="0" applyFill="1" applyBorder="1"/>
    <xf numFmtId="0" fontId="0" fillId="17" borderId="4" xfId="0" applyFill="1" applyBorder="1"/>
    <xf numFmtId="0" fontId="0" fillId="17" borderId="0" xfId="0" applyFill="1" applyBorder="1"/>
    <xf numFmtId="0" fontId="0" fillId="17" borderId="0" xfId="0" applyFill="1" applyBorder="1" applyProtection="1">
      <protection locked="0"/>
    </xf>
    <xf numFmtId="0" fontId="0" fillId="17" borderId="5" xfId="0" applyFill="1" applyBorder="1"/>
    <xf numFmtId="0" fontId="0" fillId="17" borderId="6" xfId="0" applyFill="1" applyBorder="1"/>
    <xf numFmtId="0" fontId="0" fillId="17" borderId="7" xfId="0" applyFill="1" applyBorder="1"/>
    <xf numFmtId="0" fontId="0" fillId="17" borderId="29" xfId="0" applyFill="1" applyBorder="1" applyProtection="1">
      <protection locked="0"/>
    </xf>
    <xf numFmtId="0" fontId="0" fillId="17" borderId="8" xfId="0" applyFill="1" applyBorder="1"/>
    <xf numFmtId="0" fontId="0" fillId="17" borderId="18" xfId="0" applyFill="1" applyBorder="1" applyProtection="1">
      <protection locked="0"/>
    </xf>
    <xf numFmtId="0" fontId="0" fillId="17" borderId="13" xfId="0" applyFill="1" applyBorder="1" applyAlignment="1">
      <alignment horizontal="center"/>
    </xf>
    <xf numFmtId="0" fontId="16" fillId="0" borderId="11" xfId="0" applyFont="1" applyBorder="1"/>
    <xf numFmtId="0" fontId="16" fillId="0" borderId="31" xfId="0" applyFont="1" applyBorder="1" applyAlignment="1">
      <alignment horizontal="center"/>
    </xf>
    <xf numFmtId="0" fontId="0" fillId="11" borderId="18" xfId="0" applyFill="1" applyBorder="1" applyAlignment="1" applyProtection="1">
      <alignment horizontal="right"/>
    </xf>
    <xf numFmtId="0" fontId="0" fillId="2" borderId="13" xfId="0" applyFill="1" applyBorder="1" applyProtection="1">
      <protection hidden="1"/>
    </xf>
    <xf numFmtId="0" fontId="0" fillId="3" borderId="13" xfId="0" applyFill="1" applyBorder="1" applyProtection="1">
      <protection hidden="1"/>
    </xf>
    <xf numFmtId="9" fontId="0" fillId="4" borderId="13" xfId="0" applyNumberFormat="1" applyFill="1" applyBorder="1"/>
    <xf numFmtId="0" fontId="0" fillId="4" borderId="13" xfId="0" applyFill="1" applyBorder="1"/>
    <xf numFmtId="0" fontId="0" fillId="9" borderId="13" xfId="0" applyFill="1" applyBorder="1" applyAlignment="1">
      <alignment horizontal="right"/>
    </xf>
    <xf numFmtId="0" fontId="0" fillId="11" borderId="17" xfId="0" applyFill="1" applyBorder="1" applyProtection="1">
      <protection locked="0"/>
    </xf>
    <xf numFmtId="0" fontId="17" fillId="8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left" vertical="center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6" borderId="0" xfId="0" applyFill="1" applyAlignment="1">
      <alignment horizontal="center" vertical="center"/>
    </xf>
    <xf numFmtId="0" fontId="0" fillId="8" borderId="13" xfId="0" applyFill="1" applyBorder="1" applyAlignment="1">
      <alignment wrapText="1"/>
    </xf>
    <xf numFmtId="0" fontId="0" fillId="9" borderId="13" xfId="0" applyFill="1" applyBorder="1" applyAlignment="1">
      <alignment horizontal="center" vertical="center"/>
    </xf>
    <xf numFmtId="0" fontId="0" fillId="8" borderId="21" xfId="0" applyFill="1" applyBorder="1"/>
    <xf numFmtId="0" fontId="0" fillId="8" borderId="0" xfId="0" applyFill="1" applyBorder="1"/>
    <xf numFmtId="0" fontId="0" fillId="0" borderId="13" xfId="0" applyBorder="1"/>
    <xf numFmtId="0" fontId="0" fillId="2" borderId="13" xfId="0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</xdr:row>
      <xdr:rowOff>0</xdr:rowOff>
    </xdr:from>
    <xdr:to>
      <xdr:col>12</xdr:col>
      <xdr:colOff>285749</xdr:colOff>
      <xdr:row>12</xdr:row>
      <xdr:rowOff>0</xdr:rowOff>
    </xdr:to>
    <xdr:sp macro="" textlink="">
      <xdr:nvSpPr>
        <xdr:cNvPr id="64" name="63 - Ορθογώνιο"/>
        <xdr:cNvSpPr/>
      </xdr:nvSpPr>
      <xdr:spPr>
        <a:xfrm>
          <a:off x="10501312" y="190500"/>
          <a:ext cx="273843" cy="21193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3</xdr:col>
      <xdr:colOff>438150</xdr:colOff>
      <xdr:row>76</xdr:row>
      <xdr:rowOff>0</xdr:rowOff>
    </xdr:from>
    <xdr:to>
      <xdr:col>7</xdr:col>
      <xdr:colOff>19050</xdr:colOff>
      <xdr:row>81</xdr:row>
      <xdr:rowOff>152400</xdr:rowOff>
    </xdr:to>
    <xdr:sp macro="" textlink="">
      <xdr:nvSpPr>
        <xdr:cNvPr id="44" name="43 - Ορθογώνιο"/>
        <xdr:cNvSpPr/>
      </xdr:nvSpPr>
      <xdr:spPr>
        <a:xfrm>
          <a:off x="2047875" y="14478000"/>
          <a:ext cx="2943225" cy="1104900"/>
        </a:xfrm>
        <a:prstGeom prst="rect">
          <a:avLst/>
        </a:prstGeom>
        <a:noFill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7</xdr:col>
      <xdr:colOff>409575</xdr:colOff>
      <xdr:row>62</xdr:row>
      <xdr:rowOff>0</xdr:rowOff>
    </xdr:from>
    <xdr:to>
      <xdr:col>10</xdr:col>
      <xdr:colOff>485775</xdr:colOff>
      <xdr:row>65</xdr:row>
      <xdr:rowOff>133350</xdr:rowOff>
    </xdr:to>
    <xdr:cxnSp macro="">
      <xdr:nvCxnSpPr>
        <xdr:cNvPr id="32" name="31 - Ευθύγραμμο βέλος σύνδεσης"/>
        <xdr:cNvCxnSpPr/>
      </xdr:nvCxnSpPr>
      <xdr:spPr>
        <a:xfrm flipV="1">
          <a:off x="4429125" y="11811000"/>
          <a:ext cx="1924050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65</xdr:row>
      <xdr:rowOff>142875</xdr:rowOff>
    </xdr:from>
    <xdr:to>
      <xdr:col>10</xdr:col>
      <xdr:colOff>561975</xdr:colOff>
      <xdr:row>65</xdr:row>
      <xdr:rowOff>142875</xdr:rowOff>
    </xdr:to>
    <xdr:cxnSp macro="">
      <xdr:nvCxnSpPr>
        <xdr:cNvPr id="37" name="36 - Ευθύγραμμο βέλος σύνδεσης"/>
        <xdr:cNvCxnSpPr/>
      </xdr:nvCxnSpPr>
      <xdr:spPr>
        <a:xfrm>
          <a:off x="4400550" y="12525375"/>
          <a:ext cx="20288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65</xdr:row>
      <xdr:rowOff>152400</xdr:rowOff>
    </xdr:from>
    <xdr:to>
      <xdr:col>7</xdr:col>
      <xdr:colOff>409575</xdr:colOff>
      <xdr:row>69</xdr:row>
      <xdr:rowOff>171450</xdr:rowOff>
    </xdr:to>
    <xdr:cxnSp macro="">
      <xdr:nvCxnSpPr>
        <xdr:cNvPr id="38" name="37 - Ευθύγραμμο βέλος σύνδεσης"/>
        <xdr:cNvCxnSpPr/>
      </xdr:nvCxnSpPr>
      <xdr:spPr>
        <a:xfrm>
          <a:off x="4419600" y="12534900"/>
          <a:ext cx="9525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61</xdr:row>
      <xdr:rowOff>152400</xdr:rowOff>
    </xdr:from>
    <xdr:to>
      <xdr:col>10</xdr:col>
      <xdr:colOff>533400</xdr:colOff>
      <xdr:row>65</xdr:row>
      <xdr:rowOff>133350</xdr:rowOff>
    </xdr:to>
    <xdr:cxnSp macro="">
      <xdr:nvCxnSpPr>
        <xdr:cNvPr id="39" name="38 - Ευθεία γραμμή σύνδεσης"/>
        <xdr:cNvCxnSpPr/>
      </xdr:nvCxnSpPr>
      <xdr:spPr>
        <a:xfrm>
          <a:off x="6381750" y="11772900"/>
          <a:ext cx="19050" cy="74295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58</xdr:row>
      <xdr:rowOff>38100</xdr:rowOff>
    </xdr:from>
    <xdr:to>
      <xdr:col>7</xdr:col>
      <xdr:colOff>400050</xdr:colOff>
      <xdr:row>65</xdr:row>
      <xdr:rowOff>152400</xdr:rowOff>
    </xdr:to>
    <xdr:cxnSp macro="">
      <xdr:nvCxnSpPr>
        <xdr:cNvPr id="40" name="39 - Ευθύγραμμο βέλος σύνδεσης"/>
        <xdr:cNvCxnSpPr/>
      </xdr:nvCxnSpPr>
      <xdr:spPr>
        <a:xfrm flipV="1">
          <a:off x="4419600" y="11087100"/>
          <a:ext cx="0" cy="1447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61</xdr:row>
      <xdr:rowOff>123825</xdr:rowOff>
    </xdr:from>
    <xdr:to>
      <xdr:col>7</xdr:col>
      <xdr:colOff>409575</xdr:colOff>
      <xdr:row>65</xdr:row>
      <xdr:rowOff>152400</xdr:rowOff>
    </xdr:to>
    <xdr:cxnSp macro="">
      <xdr:nvCxnSpPr>
        <xdr:cNvPr id="41" name="40 - Ευθύγραμμο βέλος σύνδεσης"/>
        <xdr:cNvCxnSpPr/>
      </xdr:nvCxnSpPr>
      <xdr:spPr>
        <a:xfrm flipV="1">
          <a:off x="4419600" y="11744325"/>
          <a:ext cx="95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61</xdr:row>
      <xdr:rowOff>142875</xdr:rowOff>
    </xdr:from>
    <xdr:to>
      <xdr:col>10</xdr:col>
      <xdr:colOff>542925</xdr:colOff>
      <xdr:row>61</xdr:row>
      <xdr:rowOff>152400</xdr:rowOff>
    </xdr:to>
    <xdr:cxnSp macro="">
      <xdr:nvCxnSpPr>
        <xdr:cNvPr id="42" name="41 - Ευθεία γραμμή σύνδεσης"/>
        <xdr:cNvCxnSpPr/>
      </xdr:nvCxnSpPr>
      <xdr:spPr>
        <a:xfrm>
          <a:off x="7391400" y="16802100"/>
          <a:ext cx="2038350" cy="952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82</xdr:row>
      <xdr:rowOff>19050</xdr:rowOff>
    </xdr:from>
    <xdr:to>
      <xdr:col>7</xdr:col>
      <xdr:colOff>19050</xdr:colOff>
      <xdr:row>88</xdr:row>
      <xdr:rowOff>28575</xdr:rowOff>
    </xdr:to>
    <xdr:sp macro="" textlink="">
      <xdr:nvSpPr>
        <xdr:cNvPr id="45" name="44 - Ορθογώνιο"/>
        <xdr:cNvSpPr/>
      </xdr:nvSpPr>
      <xdr:spPr>
        <a:xfrm>
          <a:off x="2047875" y="15640050"/>
          <a:ext cx="2943225" cy="1152525"/>
        </a:xfrm>
        <a:prstGeom prst="rect">
          <a:avLst/>
        </a:prstGeom>
        <a:noFill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0</xdr:col>
      <xdr:colOff>28574</xdr:colOff>
      <xdr:row>18</xdr:row>
      <xdr:rowOff>9525</xdr:rowOff>
    </xdr:from>
    <xdr:to>
      <xdr:col>9</xdr:col>
      <xdr:colOff>85724</xdr:colOff>
      <xdr:row>34</xdr:row>
      <xdr:rowOff>133350</xdr:rowOff>
    </xdr:to>
    <xdr:sp macro="" textlink="">
      <xdr:nvSpPr>
        <xdr:cNvPr id="47" name="46 - Ορθογώνιο"/>
        <xdr:cNvSpPr/>
      </xdr:nvSpPr>
      <xdr:spPr>
        <a:xfrm>
          <a:off x="28574" y="3438525"/>
          <a:ext cx="6334125" cy="3171825"/>
        </a:xfrm>
        <a:prstGeom prst="rect">
          <a:avLst/>
        </a:prstGeom>
        <a:noFill/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19051</xdr:colOff>
      <xdr:row>78</xdr:row>
      <xdr:rowOff>85723</xdr:rowOff>
    </xdr:from>
    <xdr:to>
      <xdr:col>8</xdr:col>
      <xdr:colOff>190501</xdr:colOff>
      <xdr:row>80</xdr:row>
      <xdr:rowOff>19048</xdr:rowOff>
    </xdr:to>
    <xdr:cxnSp macro="">
      <xdr:nvCxnSpPr>
        <xdr:cNvPr id="13" name="12 - Ευθεία γραμμή σύνδεσης"/>
        <xdr:cNvCxnSpPr/>
      </xdr:nvCxnSpPr>
      <xdr:spPr>
        <a:xfrm flipV="1">
          <a:off x="7610476" y="20012023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85726</xdr:colOff>
      <xdr:row>78</xdr:row>
      <xdr:rowOff>28573</xdr:rowOff>
    </xdr:from>
    <xdr:to>
      <xdr:col>8</xdr:col>
      <xdr:colOff>276226</xdr:colOff>
      <xdr:row>78</xdr:row>
      <xdr:rowOff>152398</xdr:rowOff>
    </xdr:to>
    <xdr:cxnSp macro="">
      <xdr:nvCxnSpPr>
        <xdr:cNvPr id="15" name="14 - Ευθεία γραμμή σύνδεσης"/>
        <xdr:cNvCxnSpPr/>
      </xdr:nvCxnSpPr>
      <xdr:spPr>
        <a:xfrm>
          <a:off x="7677151" y="19954873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77</xdr:row>
      <xdr:rowOff>133348</xdr:rowOff>
    </xdr:from>
    <xdr:to>
      <xdr:col>8</xdr:col>
      <xdr:colOff>333376</xdr:colOff>
      <xdr:row>78</xdr:row>
      <xdr:rowOff>66673</xdr:rowOff>
    </xdr:to>
    <xdr:cxnSp macro="">
      <xdr:nvCxnSpPr>
        <xdr:cNvPr id="16" name="15 - Ευθεία γραμμή σύνδεσης"/>
        <xdr:cNvCxnSpPr/>
      </xdr:nvCxnSpPr>
      <xdr:spPr>
        <a:xfrm>
          <a:off x="7734301" y="19869148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238126</xdr:colOff>
      <xdr:row>76</xdr:row>
      <xdr:rowOff>66673</xdr:rowOff>
    </xdr:from>
    <xdr:to>
      <xdr:col>8</xdr:col>
      <xdr:colOff>409576</xdr:colOff>
      <xdr:row>77</xdr:row>
      <xdr:rowOff>190498</xdr:rowOff>
    </xdr:to>
    <xdr:cxnSp macro="">
      <xdr:nvCxnSpPr>
        <xdr:cNvPr id="17" name="16 - Ευθεία γραμμή σύνδεσης"/>
        <xdr:cNvCxnSpPr/>
      </xdr:nvCxnSpPr>
      <xdr:spPr>
        <a:xfrm flipV="1">
          <a:off x="7829551" y="19611973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24512</xdr:colOff>
      <xdr:row>78</xdr:row>
      <xdr:rowOff>51429</xdr:rowOff>
    </xdr:from>
    <xdr:to>
      <xdr:col>9</xdr:col>
      <xdr:colOff>361951</xdr:colOff>
      <xdr:row>80</xdr:row>
      <xdr:rowOff>47623</xdr:rowOff>
    </xdr:to>
    <xdr:cxnSp macro="">
      <xdr:nvCxnSpPr>
        <xdr:cNvPr id="18" name="17 - Ευθεία γραμμή σύνδεσης"/>
        <xdr:cNvCxnSpPr/>
      </xdr:nvCxnSpPr>
      <xdr:spPr>
        <a:xfrm>
          <a:off x="8301737" y="19977729"/>
          <a:ext cx="337439" cy="3771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652463</xdr:colOff>
      <xdr:row>77</xdr:row>
      <xdr:rowOff>128587</xdr:rowOff>
    </xdr:from>
    <xdr:to>
      <xdr:col>9</xdr:col>
      <xdr:colOff>90488</xdr:colOff>
      <xdr:row>78</xdr:row>
      <xdr:rowOff>128587</xdr:rowOff>
    </xdr:to>
    <xdr:cxnSp macro="">
      <xdr:nvCxnSpPr>
        <xdr:cNvPr id="19" name="18 - Ευθεία γραμμή σύνδεσης"/>
        <xdr:cNvCxnSpPr/>
      </xdr:nvCxnSpPr>
      <xdr:spPr>
        <a:xfrm rot="6600000">
          <a:off x="8210551" y="19897724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585788</xdr:colOff>
      <xdr:row>77</xdr:row>
      <xdr:rowOff>52388</xdr:rowOff>
    </xdr:from>
    <xdr:to>
      <xdr:col>9</xdr:col>
      <xdr:colOff>23813</xdr:colOff>
      <xdr:row>78</xdr:row>
      <xdr:rowOff>52388</xdr:rowOff>
    </xdr:to>
    <xdr:cxnSp macro="">
      <xdr:nvCxnSpPr>
        <xdr:cNvPr id="20" name="19 - Ευθεία γραμμή σύνδεσης"/>
        <xdr:cNvCxnSpPr/>
      </xdr:nvCxnSpPr>
      <xdr:spPr>
        <a:xfrm rot="6600000">
          <a:off x="8143876" y="19821525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376239</xdr:colOff>
      <xdr:row>76</xdr:row>
      <xdr:rowOff>128590</xdr:rowOff>
    </xdr:from>
    <xdr:to>
      <xdr:col>9</xdr:col>
      <xdr:colOff>4764</xdr:colOff>
      <xdr:row>77</xdr:row>
      <xdr:rowOff>109540</xdr:rowOff>
    </xdr:to>
    <xdr:cxnSp macro="">
      <xdr:nvCxnSpPr>
        <xdr:cNvPr id="21" name="20 - Ευθεία γραμμή σύνδεσης"/>
        <xdr:cNvCxnSpPr/>
      </xdr:nvCxnSpPr>
      <xdr:spPr>
        <a:xfrm rot="6600000" flipV="1">
          <a:off x="8039102" y="19602452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506791</xdr:colOff>
      <xdr:row>80</xdr:row>
      <xdr:rowOff>21907</xdr:rowOff>
    </xdr:from>
    <xdr:to>
      <xdr:col>9</xdr:col>
      <xdr:colOff>352426</xdr:colOff>
      <xdr:row>80</xdr:row>
      <xdr:rowOff>38098</xdr:rowOff>
    </xdr:to>
    <xdr:cxnSp macro="">
      <xdr:nvCxnSpPr>
        <xdr:cNvPr id="22" name="21 - Ευθεία γραμμή σύνδεσης"/>
        <xdr:cNvCxnSpPr/>
      </xdr:nvCxnSpPr>
      <xdr:spPr>
        <a:xfrm>
          <a:off x="8098216" y="20329207"/>
          <a:ext cx="531435" cy="161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452439</xdr:colOff>
      <xdr:row>79</xdr:row>
      <xdr:rowOff>109538</xdr:rowOff>
    </xdr:from>
    <xdr:to>
      <xdr:col>8</xdr:col>
      <xdr:colOff>576264</xdr:colOff>
      <xdr:row>80</xdr:row>
      <xdr:rowOff>109538</xdr:rowOff>
    </xdr:to>
    <xdr:cxnSp macro="">
      <xdr:nvCxnSpPr>
        <xdr:cNvPr id="23" name="22 - Ευθεία γραμμή σύνδεσης"/>
        <xdr:cNvCxnSpPr/>
      </xdr:nvCxnSpPr>
      <xdr:spPr>
        <a:xfrm rot="3420000">
          <a:off x="8010527" y="20259675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319090</xdr:colOff>
      <xdr:row>79</xdr:row>
      <xdr:rowOff>119061</xdr:rowOff>
    </xdr:from>
    <xdr:to>
      <xdr:col>8</xdr:col>
      <xdr:colOff>442915</xdr:colOff>
      <xdr:row>80</xdr:row>
      <xdr:rowOff>119061</xdr:rowOff>
    </xdr:to>
    <xdr:cxnSp macro="">
      <xdr:nvCxnSpPr>
        <xdr:cNvPr id="24" name="23 - Ευθεία γραμμή σύνδεσης"/>
        <xdr:cNvCxnSpPr/>
      </xdr:nvCxnSpPr>
      <xdr:spPr>
        <a:xfrm rot="3420000">
          <a:off x="7877178" y="20269198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42865</xdr:colOff>
      <xdr:row>79</xdr:row>
      <xdr:rowOff>128590</xdr:rowOff>
    </xdr:from>
    <xdr:to>
      <xdr:col>8</xdr:col>
      <xdr:colOff>357190</xdr:colOff>
      <xdr:row>80</xdr:row>
      <xdr:rowOff>109540</xdr:rowOff>
    </xdr:to>
    <xdr:cxnSp macro="">
      <xdr:nvCxnSpPr>
        <xdr:cNvPr id="25" name="24 - Ευθεία γραμμή σύνδεσης"/>
        <xdr:cNvCxnSpPr/>
      </xdr:nvCxnSpPr>
      <xdr:spPr>
        <a:xfrm rot="3720000" flipV="1">
          <a:off x="7705728" y="20173952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88</xdr:row>
      <xdr:rowOff>0</xdr:rowOff>
    </xdr:from>
    <xdr:to>
      <xdr:col>8</xdr:col>
      <xdr:colOff>257175</xdr:colOff>
      <xdr:row>89</xdr:row>
      <xdr:rowOff>123825</xdr:rowOff>
    </xdr:to>
    <xdr:cxnSp macro="">
      <xdr:nvCxnSpPr>
        <xdr:cNvPr id="33" name="32 - Ευθεία γραμμή σύνδεσης"/>
        <xdr:cNvCxnSpPr/>
      </xdr:nvCxnSpPr>
      <xdr:spPr>
        <a:xfrm flipV="1">
          <a:off x="7677150" y="21831300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87</xdr:row>
      <xdr:rowOff>133350</xdr:rowOff>
    </xdr:from>
    <xdr:to>
      <xdr:col>8</xdr:col>
      <xdr:colOff>342900</xdr:colOff>
      <xdr:row>88</xdr:row>
      <xdr:rowOff>66675</xdr:rowOff>
    </xdr:to>
    <xdr:cxnSp macro="">
      <xdr:nvCxnSpPr>
        <xdr:cNvPr id="34" name="33 - Ευθεία γραμμή σύνδεσης"/>
        <xdr:cNvCxnSpPr/>
      </xdr:nvCxnSpPr>
      <xdr:spPr>
        <a:xfrm>
          <a:off x="7743825" y="21774150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87</xdr:row>
      <xdr:rowOff>47625</xdr:rowOff>
    </xdr:from>
    <xdr:to>
      <xdr:col>8</xdr:col>
      <xdr:colOff>400050</xdr:colOff>
      <xdr:row>87</xdr:row>
      <xdr:rowOff>171450</xdr:rowOff>
    </xdr:to>
    <xdr:cxnSp macro="">
      <xdr:nvCxnSpPr>
        <xdr:cNvPr id="35" name="34 - Ευθεία γραμμή σύνδεσης"/>
        <xdr:cNvCxnSpPr/>
      </xdr:nvCxnSpPr>
      <xdr:spPr>
        <a:xfrm>
          <a:off x="7800975" y="21688425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85</xdr:row>
      <xdr:rowOff>171450</xdr:rowOff>
    </xdr:from>
    <xdr:to>
      <xdr:col>8</xdr:col>
      <xdr:colOff>476250</xdr:colOff>
      <xdr:row>87</xdr:row>
      <xdr:rowOff>104775</xdr:rowOff>
    </xdr:to>
    <xdr:cxnSp macro="">
      <xdr:nvCxnSpPr>
        <xdr:cNvPr id="36" name="35 - Ευθεία γραμμή σύνδεσης"/>
        <xdr:cNvCxnSpPr/>
      </xdr:nvCxnSpPr>
      <xdr:spPr>
        <a:xfrm flipV="1">
          <a:off x="7896225" y="21431250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259140</xdr:colOff>
      <xdr:row>85</xdr:row>
      <xdr:rowOff>183834</xdr:rowOff>
    </xdr:from>
    <xdr:to>
      <xdr:col>10</xdr:col>
      <xdr:colOff>180975</xdr:colOff>
      <xdr:row>86</xdr:row>
      <xdr:rowOff>9525</xdr:rowOff>
    </xdr:to>
    <xdr:cxnSp macro="">
      <xdr:nvCxnSpPr>
        <xdr:cNvPr id="43" name="42 - Ευθεία γραμμή σύνδεσης"/>
        <xdr:cNvCxnSpPr/>
      </xdr:nvCxnSpPr>
      <xdr:spPr>
        <a:xfrm>
          <a:off x="8536365" y="21443634"/>
          <a:ext cx="531435" cy="161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204788</xdr:colOff>
      <xdr:row>85</xdr:row>
      <xdr:rowOff>80965</xdr:rowOff>
    </xdr:from>
    <xdr:to>
      <xdr:col>9</xdr:col>
      <xdr:colOff>328613</xdr:colOff>
      <xdr:row>86</xdr:row>
      <xdr:rowOff>80965</xdr:rowOff>
    </xdr:to>
    <xdr:cxnSp macro="">
      <xdr:nvCxnSpPr>
        <xdr:cNvPr id="46" name="45 - Ευθεία γραμμή σύνδεσης"/>
        <xdr:cNvCxnSpPr/>
      </xdr:nvCxnSpPr>
      <xdr:spPr>
        <a:xfrm rot="3420000">
          <a:off x="8448676" y="21374102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71439</xdr:colOff>
      <xdr:row>85</xdr:row>
      <xdr:rowOff>90488</xdr:rowOff>
    </xdr:from>
    <xdr:to>
      <xdr:col>9</xdr:col>
      <xdr:colOff>195264</xdr:colOff>
      <xdr:row>86</xdr:row>
      <xdr:rowOff>90488</xdr:rowOff>
    </xdr:to>
    <xdr:cxnSp macro="">
      <xdr:nvCxnSpPr>
        <xdr:cNvPr id="48" name="47 - Ευθεία γραμμή σύνδεσης"/>
        <xdr:cNvCxnSpPr/>
      </xdr:nvCxnSpPr>
      <xdr:spPr>
        <a:xfrm rot="3420000">
          <a:off x="8315327" y="21383625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481014</xdr:colOff>
      <xdr:row>85</xdr:row>
      <xdr:rowOff>100017</xdr:rowOff>
    </xdr:from>
    <xdr:to>
      <xdr:col>9</xdr:col>
      <xdr:colOff>109539</xdr:colOff>
      <xdr:row>86</xdr:row>
      <xdr:rowOff>80967</xdr:rowOff>
    </xdr:to>
    <xdr:cxnSp macro="">
      <xdr:nvCxnSpPr>
        <xdr:cNvPr id="49" name="48 - Ευθεία γραμμή σύνδεσης"/>
        <xdr:cNvCxnSpPr/>
      </xdr:nvCxnSpPr>
      <xdr:spPr>
        <a:xfrm rot="3720000" flipV="1">
          <a:off x="8143877" y="21288379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148336</xdr:colOff>
      <xdr:row>83</xdr:row>
      <xdr:rowOff>184781</xdr:rowOff>
    </xdr:from>
    <xdr:to>
      <xdr:col>8</xdr:col>
      <xdr:colOff>485775</xdr:colOff>
      <xdr:row>85</xdr:row>
      <xdr:rowOff>180975</xdr:rowOff>
    </xdr:to>
    <xdr:cxnSp macro="">
      <xdr:nvCxnSpPr>
        <xdr:cNvPr id="50" name="49 - Ευθεία γραμμή σύνδεσης"/>
        <xdr:cNvCxnSpPr/>
      </xdr:nvCxnSpPr>
      <xdr:spPr>
        <a:xfrm>
          <a:off x="7739761" y="21063581"/>
          <a:ext cx="337439" cy="3771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</xdr:colOff>
      <xdr:row>83</xdr:row>
      <xdr:rowOff>71439</xdr:rowOff>
    </xdr:from>
    <xdr:to>
      <xdr:col>8</xdr:col>
      <xdr:colOff>214312</xdr:colOff>
      <xdr:row>84</xdr:row>
      <xdr:rowOff>71439</xdr:rowOff>
    </xdr:to>
    <xdr:cxnSp macro="">
      <xdr:nvCxnSpPr>
        <xdr:cNvPr id="51" name="50 - Ευθεία γραμμή σύνδεσης"/>
        <xdr:cNvCxnSpPr/>
      </xdr:nvCxnSpPr>
      <xdr:spPr>
        <a:xfrm rot="6600000">
          <a:off x="7648575" y="20983576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</xdr:colOff>
      <xdr:row>82</xdr:row>
      <xdr:rowOff>185740</xdr:rowOff>
    </xdr:from>
    <xdr:to>
      <xdr:col>8</xdr:col>
      <xdr:colOff>147637</xdr:colOff>
      <xdr:row>83</xdr:row>
      <xdr:rowOff>185740</xdr:rowOff>
    </xdr:to>
    <xdr:cxnSp macro="">
      <xdr:nvCxnSpPr>
        <xdr:cNvPr id="52" name="51 - Ευθεία γραμμή σύνδεσης"/>
        <xdr:cNvCxnSpPr/>
      </xdr:nvCxnSpPr>
      <xdr:spPr>
        <a:xfrm rot="6600000">
          <a:off x="7581900" y="20907377"/>
          <a:ext cx="1905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433388</xdr:colOff>
      <xdr:row>82</xdr:row>
      <xdr:rowOff>71442</xdr:rowOff>
    </xdr:from>
    <xdr:to>
      <xdr:col>8</xdr:col>
      <xdr:colOff>128588</xdr:colOff>
      <xdr:row>83</xdr:row>
      <xdr:rowOff>52392</xdr:rowOff>
    </xdr:to>
    <xdr:cxnSp macro="">
      <xdr:nvCxnSpPr>
        <xdr:cNvPr id="53" name="52 - Ευθεία γραμμή σύνδεσης"/>
        <xdr:cNvCxnSpPr/>
      </xdr:nvCxnSpPr>
      <xdr:spPr>
        <a:xfrm rot="6600000" flipV="1">
          <a:off x="7477126" y="20688304"/>
          <a:ext cx="1714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1420883</xdr:colOff>
      <xdr:row>27</xdr:row>
      <xdr:rowOff>3190831</xdr:rowOff>
    </xdr:from>
    <xdr:to>
      <xdr:col>6</xdr:col>
      <xdr:colOff>239784</xdr:colOff>
      <xdr:row>28</xdr:row>
      <xdr:rowOff>15706</xdr:rowOff>
    </xdr:to>
    <xdr:cxnSp macro="">
      <xdr:nvCxnSpPr>
        <xdr:cNvPr id="61" name="60 - Ευθύγραμμο βέλος σύνδεσης"/>
        <xdr:cNvCxnSpPr/>
      </xdr:nvCxnSpPr>
      <xdr:spPr>
        <a:xfrm rot="-60000" flipH="1">
          <a:off x="5354708" y="8353381"/>
          <a:ext cx="1047751" cy="2016000"/>
        </a:xfrm>
        <a:prstGeom prst="straightConnector1">
          <a:avLst/>
        </a:prstGeom>
        <a:ln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  <a:reflection blurRad="6350" stA="52000" endA="300" endPos="35000" dir="5400000" sy="-100000" algn="bl" rotWithShape="0"/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27</xdr:row>
      <xdr:rowOff>942975</xdr:rowOff>
    </xdr:from>
    <xdr:to>
      <xdr:col>6</xdr:col>
      <xdr:colOff>619125</xdr:colOff>
      <xdr:row>27</xdr:row>
      <xdr:rowOff>4219575</xdr:rowOff>
    </xdr:to>
    <xdr:sp macro="" textlink="">
      <xdr:nvSpPr>
        <xdr:cNvPr id="63" name="62 - Ορθογώνιο"/>
        <xdr:cNvSpPr/>
      </xdr:nvSpPr>
      <xdr:spPr>
        <a:xfrm>
          <a:off x="6400800" y="6105525"/>
          <a:ext cx="381000" cy="3276600"/>
        </a:xfrm>
        <a:prstGeom prst="rect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0</xdr:col>
      <xdr:colOff>1228725</xdr:colOff>
      <xdr:row>27</xdr:row>
      <xdr:rowOff>2819400</xdr:rowOff>
    </xdr:from>
    <xdr:to>
      <xdr:col>0</xdr:col>
      <xdr:colOff>2095500</xdr:colOff>
      <xdr:row>27</xdr:row>
      <xdr:rowOff>5153025</xdr:rowOff>
    </xdr:to>
    <xdr:cxnSp macro="">
      <xdr:nvCxnSpPr>
        <xdr:cNvPr id="65" name="64 - Ευθύγραμμο βέλος σύνδεσης"/>
        <xdr:cNvCxnSpPr/>
      </xdr:nvCxnSpPr>
      <xdr:spPr>
        <a:xfrm>
          <a:off x="1228725" y="7981950"/>
          <a:ext cx="866775" cy="2333625"/>
        </a:xfrm>
        <a:prstGeom prst="straightConnector1">
          <a:avLst/>
        </a:prstGeom>
        <a:ln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  <a:reflection blurRad="6350" stA="52000" endA="300" endPos="35000" dir="5400000" sy="-100000" algn="bl" rotWithShape="0"/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1249134</xdr:colOff>
      <xdr:row>24</xdr:row>
      <xdr:rowOff>148317</xdr:rowOff>
    </xdr:from>
    <xdr:to>
      <xdr:col>3</xdr:col>
      <xdr:colOff>87085</xdr:colOff>
      <xdr:row>26</xdr:row>
      <xdr:rowOff>24493</xdr:rowOff>
    </xdr:to>
    <xdr:sp macro="" textlink="">
      <xdr:nvSpPr>
        <xdr:cNvPr id="69" name="68 - TextBox"/>
        <xdr:cNvSpPr txBox="1"/>
      </xdr:nvSpPr>
      <xdr:spPr>
        <a:xfrm rot="10800000" flipV="1">
          <a:off x="1249134" y="4720317"/>
          <a:ext cx="2294165" cy="29799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rgbClr val="FF0000"/>
              </a:solidFill>
            </a:rPr>
            <a:t>ΕΙΣΑΓΩΓΗ</a:t>
          </a:r>
          <a:r>
            <a:rPr lang="el-GR" sz="1100" baseline="0">
              <a:solidFill>
                <a:srgbClr val="FF0000"/>
              </a:solidFill>
            </a:rPr>
            <a:t> ΠΤΩΣΗ ΤΑΣΗΣ ΕΠΙ ΤΗΣ % </a:t>
          </a:r>
          <a:endParaRPr lang="el-GR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87085</xdr:colOff>
      <xdr:row>25</xdr:row>
      <xdr:rowOff>91168</xdr:rowOff>
    </xdr:from>
    <xdr:to>
      <xdr:col>4</xdr:col>
      <xdr:colOff>1361</xdr:colOff>
      <xdr:row>25</xdr:row>
      <xdr:rowOff>91168</xdr:rowOff>
    </xdr:to>
    <xdr:cxnSp macro="">
      <xdr:nvCxnSpPr>
        <xdr:cNvPr id="74" name="73 - Ευθύγραμμο βέλος σύνδεσης"/>
        <xdr:cNvCxnSpPr>
          <a:stCxn id="69" idx="1"/>
        </xdr:cNvCxnSpPr>
      </xdr:nvCxnSpPr>
      <xdr:spPr>
        <a:xfrm>
          <a:off x="3543299" y="4853668"/>
          <a:ext cx="390526" cy="0"/>
        </a:xfrm>
        <a:prstGeom prst="straightConnector1">
          <a:avLst/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58</xdr:row>
      <xdr:rowOff>0</xdr:rowOff>
    </xdr:from>
    <xdr:to>
      <xdr:col>10</xdr:col>
      <xdr:colOff>628650</xdr:colOff>
      <xdr:row>70</xdr:row>
      <xdr:rowOff>133350</xdr:rowOff>
    </xdr:to>
    <xdr:sp macro="" textlink="">
      <xdr:nvSpPr>
        <xdr:cNvPr id="79" name="78 - Ορθογώνιο"/>
        <xdr:cNvSpPr/>
      </xdr:nvSpPr>
      <xdr:spPr>
        <a:xfrm>
          <a:off x="6981825" y="16087725"/>
          <a:ext cx="2533650" cy="2447925"/>
        </a:xfrm>
        <a:prstGeom prst="rect">
          <a:avLst/>
        </a:prstGeom>
        <a:noFill/>
        <a:ln w="28575">
          <a:solidFill>
            <a:srgbClr val="FFFF00"/>
          </a:solidFill>
          <a:prstDash val="dash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10</xdr:col>
      <xdr:colOff>19050</xdr:colOff>
      <xdr:row>81</xdr:row>
      <xdr:rowOff>171450</xdr:rowOff>
    </xdr:to>
    <xdr:sp macro="" textlink="">
      <xdr:nvSpPr>
        <xdr:cNvPr id="80" name="79 - Ορθογώνιο"/>
        <xdr:cNvSpPr/>
      </xdr:nvSpPr>
      <xdr:spPr>
        <a:xfrm>
          <a:off x="7600950" y="19545300"/>
          <a:ext cx="1304925" cy="1123950"/>
        </a:xfrm>
        <a:prstGeom prst="rect">
          <a:avLst/>
        </a:prstGeom>
        <a:noFill/>
        <a:ln w="28575">
          <a:solidFill>
            <a:schemeClr val="accent6">
              <a:lumMod val="60000"/>
              <a:lumOff val="40000"/>
            </a:schemeClr>
          </a:solidFill>
          <a:prstDash val="lgDash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7</xdr:col>
      <xdr:colOff>304800</xdr:colOff>
      <xdr:row>82</xdr:row>
      <xdr:rowOff>19050</xdr:rowOff>
    </xdr:from>
    <xdr:to>
      <xdr:col>10</xdr:col>
      <xdr:colOff>514350</xdr:colOff>
      <xdr:row>89</xdr:row>
      <xdr:rowOff>171450</xdr:rowOff>
    </xdr:to>
    <xdr:sp macro="" textlink="">
      <xdr:nvSpPr>
        <xdr:cNvPr id="81" name="80 - Ορθογώνιο"/>
        <xdr:cNvSpPr/>
      </xdr:nvSpPr>
      <xdr:spPr>
        <a:xfrm>
          <a:off x="7277100" y="20707350"/>
          <a:ext cx="2124075" cy="1485900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9</xdr:col>
      <xdr:colOff>495300</xdr:colOff>
      <xdr:row>0</xdr:row>
      <xdr:rowOff>28575</xdr:rowOff>
    </xdr:from>
    <xdr:to>
      <xdr:col>12</xdr:col>
      <xdr:colOff>504825</xdr:colOff>
      <xdr:row>13</xdr:row>
      <xdr:rowOff>142875</xdr:rowOff>
    </xdr:to>
    <xdr:sp macro="" textlink="">
      <xdr:nvSpPr>
        <xdr:cNvPr id="84" name="83 - Ορθογώνιο"/>
        <xdr:cNvSpPr/>
      </xdr:nvSpPr>
      <xdr:spPr>
        <a:xfrm>
          <a:off x="8772525" y="28575"/>
          <a:ext cx="2228850" cy="2590800"/>
        </a:xfrm>
        <a:prstGeom prst="rect">
          <a:avLst/>
        </a:prstGeom>
        <a:noFill/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4</xdr:col>
      <xdr:colOff>547687</xdr:colOff>
      <xdr:row>8</xdr:row>
      <xdr:rowOff>7144</xdr:rowOff>
    </xdr:from>
    <xdr:to>
      <xdr:col>4</xdr:col>
      <xdr:colOff>1285878</xdr:colOff>
      <xdr:row>21</xdr:row>
      <xdr:rowOff>47625</xdr:rowOff>
    </xdr:to>
    <xdr:cxnSp macro="">
      <xdr:nvCxnSpPr>
        <xdr:cNvPr id="86" name="85 - Ευθύγραμμο βέλος σύνδεσης"/>
        <xdr:cNvCxnSpPr/>
      </xdr:nvCxnSpPr>
      <xdr:spPr>
        <a:xfrm flipH="1">
          <a:off x="4476750" y="1554957"/>
          <a:ext cx="738191" cy="2516981"/>
        </a:xfrm>
        <a:prstGeom prst="straightConnector1">
          <a:avLst/>
        </a:prstGeom>
        <a:ln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20</xdr:row>
      <xdr:rowOff>104776</xdr:rowOff>
    </xdr:from>
    <xdr:to>
      <xdr:col>11</xdr:col>
      <xdr:colOff>114300</xdr:colOff>
      <xdr:row>23</xdr:row>
      <xdr:rowOff>104776</xdr:rowOff>
    </xdr:to>
    <xdr:sp macro="" textlink="">
      <xdr:nvSpPr>
        <xdr:cNvPr id="89" name="88 - Ορθογώνιο"/>
        <xdr:cNvSpPr/>
      </xdr:nvSpPr>
      <xdr:spPr>
        <a:xfrm>
          <a:off x="8782050" y="3914776"/>
          <a:ext cx="1219200" cy="571500"/>
        </a:xfrm>
        <a:prstGeom prst="rect">
          <a:avLst/>
        </a:prstGeom>
        <a:noFill/>
        <a:ln>
          <a:solidFill>
            <a:srgbClr val="FF0000"/>
          </a:solidFill>
          <a:prstDash val="lgDash"/>
        </a:ln>
        <a:effectLst>
          <a:glow rad="1397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7</xdr:col>
      <xdr:colOff>304800</xdr:colOff>
      <xdr:row>18</xdr:row>
      <xdr:rowOff>171450</xdr:rowOff>
    </xdr:from>
    <xdr:to>
      <xdr:col>9</xdr:col>
      <xdr:colOff>438150</xdr:colOff>
      <xdr:row>20</xdr:row>
      <xdr:rowOff>171450</xdr:rowOff>
    </xdr:to>
    <xdr:cxnSp macro="">
      <xdr:nvCxnSpPr>
        <xdr:cNvPr id="91" name="90 - Ευθύγραμμο βέλος σύνδεσης"/>
        <xdr:cNvCxnSpPr/>
      </xdr:nvCxnSpPr>
      <xdr:spPr>
        <a:xfrm>
          <a:off x="7277100" y="3600450"/>
          <a:ext cx="1438275" cy="381000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1397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24</xdr:row>
      <xdr:rowOff>76200</xdr:rowOff>
    </xdr:from>
    <xdr:to>
      <xdr:col>12</xdr:col>
      <xdr:colOff>542925</xdr:colOff>
      <xdr:row>24</xdr:row>
      <xdr:rowOff>95250</xdr:rowOff>
    </xdr:to>
    <xdr:cxnSp macro="">
      <xdr:nvCxnSpPr>
        <xdr:cNvPr id="93" name="92 - Ευθύγραμμο βέλος σύνδεσης"/>
        <xdr:cNvCxnSpPr/>
      </xdr:nvCxnSpPr>
      <xdr:spPr>
        <a:xfrm flipV="1">
          <a:off x="6991350" y="4648200"/>
          <a:ext cx="4048125" cy="19050"/>
        </a:xfrm>
        <a:prstGeom prst="straightConnector1">
          <a:avLst/>
        </a:prstGeom>
        <a:ln>
          <a:solidFill>
            <a:schemeClr val="accent3">
              <a:lumMod val="40000"/>
              <a:lumOff val="60000"/>
            </a:schemeClr>
          </a:solidFill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22</xdr:row>
      <xdr:rowOff>104776</xdr:rowOff>
    </xdr:from>
    <xdr:to>
      <xdr:col>14</xdr:col>
      <xdr:colOff>0</xdr:colOff>
      <xdr:row>25</xdr:row>
      <xdr:rowOff>104776</xdr:rowOff>
    </xdr:to>
    <xdr:sp macro="" textlink="">
      <xdr:nvSpPr>
        <xdr:cNvPr id="97" name="96 - Ορθογώνιο"/>
        <xdr:cNvSpPr/>
      </xdr:nvSpPr>
      <xdr:spPr>
        <a:xfrm>
          <a:off x="11106150" y="4295776"/>
          <a:ext cx="1219200" cy="571500"/>
        </a:xfrm>
        <a:prstGeom prst="rect">
          <a:avLst/>
        </a:prstGeom>
        <a:noFill/>
        <a:ln>
          <a:solidFill>
            <a:srgbClr val="92D050"/>
          </a:solidFill>
          <a:prstDash val="lgDash"/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11</xdr:col>
      <xdr:colOff>200025</xdr:colOff>
      <xdr:row>20</xdr:row>
      <xdr:rowOff>104775</xdr:rowOff>
    </xdr:from>
    <xdr:to>
      <xdr:col>15</xdr:col>
      <xdr:colOff>333375</xdr:colOff>
      <xdr:row>22</xdr:row>
      <xdr:rowOff>28575</xdr:rowOff>
    </xdr:to>
    <xdr:cxnSp macro="">
      <xdr:nvCxnSpPr>
        <xdr:cNvPr id="99" name="98 - Ευθύγραμμο βέλος σύνδεσης"/>
        <xdr:cNvCxnSpPr/>
      </xdr:nvCxnSpPr>
      <xdr:spPr>
        <a:xfrm>
          <a:off x="10086975" y="3914775"/>
          <a:ext cx="3181350" cy="304800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22</xdr:row>
      <xdr:rowOff>133350</xdr:rowOff>
    </xdr:from>
    <xdr:to>
      <xdr:col>15</xdr:col>
      <xdr:colOff>352425</xdr:colOff>
      <xdr:row>25</xdr:row>
      <xdr:rowOff>76201</xdr:rowOff>
    </xdr:to>
    <xdr:cxnSp macro="">
      <xdr:nvCxnSpPr>
        <xdr:cNvPr id="101" name="100 - Ευθύγραμμο βέλος σύνδεσης"/>
        <xdr:cNvCxnSpPr/>
      </xdr:nvCxnSpPr>
      <xdr:spPr>
        <a:xfrm flipV="1">
          <a:off x="12382500" y="4324350"/>
          <a:ext cx="904875" cy="514351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348343</xdr:colOff>
      <xdr:row>20</xdr:row>
      <xdr:rowOff>81643</xdr:rowOff>
    </xdr:from>
    <xdr:to>
      <xdr:col>20</xdr:col>
      <xdr:colOff>538843</xdr:colOff>
      <xdr:row>24</xdr:row>
      <xdr:rowOff>110218</xdr:rowOff>
    </xdr:to>
    <xdr:sp macro="" textlink="">
      <xdr:nvSpPr>
        <xdr:cNvPr id="103" name="102 - TextBox"/>
        <xdr:cNvSpPr txBox="1"/>
      </xdr:nvSpPr>
      <xdr:spPr>
        <a:xfrm>
          <a:off x="13315950" y="3891643"/>
          <a:ext cx="3252107" cy="790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rgbClr val="FF0000"/>
          </a:solidFill>
          <a:prstDash val="dashDot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>
              <a:solidFill>
                <a:srgbClr val="FF0000"/>
              </a:solidFill>
            </a:rPr>
            <a:t>ΕΠΙΛΟΓΗ</a:t>
          </a:r>
          <a:r>
            <a:rPr lang="el-GR" sz="1100" baseline="0">
              <a:solidFill>
                <a:srgbClr val="FF0000"/>
              </a:solidFill>
            </a:rPr>
            <a:t> ΚΑΤΑΛΛΗΛΗΣ ΔΙΑΤΟΜΗΣ ΑΠΟ ΤΟΥΣ ΠΙΝΑΚΕΣ ΜΕ ΒΑΣΗ ΤΑ ΑΠΟΤΕΛΕΣΜΑΤΑ</a:t>
          </a:r>
        </a:p>
        <a:p>
          <a:r>
            <a:rPr lang="el-GR" sz="1100" baseline="0">
              <a:solidFill>
                <a:srgbClr val="FF0000"/>
              </a:solidFill>
            </a:rPr>
            <a:t>ΠΡΟΣΟΧΗ</a:t>
          </a:r>
        </a:p>
        <a:p>
          <a:r>
            <a:rPr lang="el-GR" sz="1100" baseline="0">
              <a:solidFill>
                <a:srgbClr val="FF0000"/>
              </a:solidFill>
            </a:rPr>
            <a:t>ΣΤΗ ΘΕΡΜΟΚΡΑΣΙΑ, ΣΤΟΥΣ ΑΓΩΓΟΥΣ, ΣΤΗ ΔΙΕΛΕΥΣΗ</a:t>
          </a:r>
          <a:endParaRPr lang="el-G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27215</xdr:colOff>
      <xdr:row>29</xdr:row>
      <xdr:rowOff>27214</xdr:rowOff>
    </xdr:from>
    <xdr:to>
      <xdr:col>7</xdr:col>
      <xdr:colOff>68038</xdr:colOff>
      <xdr:row>56</xdr:row>
      <xdr:rowOff>108858</xdr:rowOff>
    </xdr:to>
    <xdr:cxnSp macro="">
      <xdr:nvCxnSpPr>
        <xdr:cNvPr id="112" name="111 - Γωνιακή σύνδεση"/>
        <xdr:cNvCxnSpPr/>
      </xdr:nvCxnSpPr>
      <xdr:spPr>
        <a:xfrm rot="16200000" flipH="1">
          <a:off x="3605893" y="12450536"/>
          <a:ext cx="5252359" cy="1632858"/>
        </a:xfrm>
        <a:prstGeom prst="bentConnector3">
          <a:avLst>
            <a:gd name="adj1" fmla="val 17876"/>
          </a:avLst>
        </a:prstGeom>
        <a:ln>
          <a:solidFill>
            <a:srgbClr val="FFFF00"/>
          </a:solidFill>
          <a:prstDash val="lgDash"/>
          <a:headEnd type="none" w="med" len="med"/>
          <a:tailEnd type="arrow" w="med" len="med"/>
        </a:ln>
        <a:effectLst>
          <a:glow rad="635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843643</xdr:colOff>
      <xdr:row>56</xdr:row>
      <xdr:rowOff>108857</xdr:rowOff>
    </xdr:from>
    <xdr:to>
      <xdr:col>7</xdr:col>
      <xdr:colOff>54429</xdr:colOff>
      <xdr:row>61</xdr:row>
      <xdr:rowOff>122464</xdr:rowOff>
    </xdr:to>
    <xdr:cxnSp macro="">
      <xdr:nvCxnSpPr>
        <xdr:cNvPr id="120" name="119 - Γωνιακή σύνδεση"/>
        <xdr:cNvCxnSpPr/>
      </xdr:nvCxnSpPr>
      <xdr:spPr>
        <a:xfrm rot="10800000" flipV="1">
          <a:off x="4776107" y="15865928"/>
          <a:ext cx="2258786" cy="966107"/>
        </a:xfrm>
        <a:prstGeom prst="bentConnector3">
          <a:avLst>
            <a:gd name="adj1" fmla="val 22892"/>
          </a:avLst>
        </a:prstGeom>
        <a:ln>
          <a:solidFill>
            <a:srgbClr val="FFFF00"/>
          </a:solidFill>
          <a:prstDash val="lgDash"/>
          <a:headEnd type="none" w="med" len="med"/>
          <a:tailEnd type="arrow" w="med" len="med"/>
        </a:ln>
        <a:effectLst>
          <a:glow rad="635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830036</xdr:colOff>
      <xdr:row>61</xdr:row>
      <xdr:rowOff>136072</xdr:rowOff>
    </xdr:from>
    <xdr:to>
      <xdr:col>4</xdr:col>
      <xdr:colOff>830036</xdr:colOff>
      <xdr:row>64</xdr:row>
      <xdr:rowOff>27214</xdr:rowOff>
    </xdr:to>
    <xdr:cxnSp macro="">
      <xdr:nvCxnSpPr>
        <xdr:cNvPr id="125" name="124 - Ευθύγραμμο βέλος σύνδεσης"/>
        <xdr:cNvCxnSpPr/>
      </xdr:nvCxnSpPr>
      <xdr:spPr>
        <a:xfrm>
          <a:off x="4762500" y="16845643"/>
          <a:ext cx="0" cy="503464"/>
        </a:xfrm>
        <a:prstGeom prst="straightConnector1">
          <a:avLst/>
        </a:prstGeom>
        <a:ln>
          <a:solidFill>
            <a:srgbClr val="FFFF00"/>
          </a:solidFill>
          <a:prstDash val="lgDash"/>
          <a:headEnd type="none" w="med" len="med"/>
          <a:tailEnd type="arrow" w="med" len="med"/>
        </a:ln>
        <a:effectLst>
          <a:glow rad="635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1143000</xdr:colOff>
      <xdr:row>22</xdr:row>
      <xdr:rowOff>1</xdr:rowOff>
    </xdr:from>
    <xdr:to>
      <xdr:col>2</xdr:col>
      <xdr:colOff>326570</xdr:colOff>
      <xdr:row>23</xdr:row>
      <xdr:rowOff>13607</xdr:rowOff>
    </xdr:to>
    <xdr:sp macro="" textlink="">
      <xdr:nvSpPr>
        <xdr:cNvPr id="57" name="56 - TextBox"/>
        <xdr:cNvSpPr txBox="1"/>
      </xdr:nvSpPr>
      <xdr:spPr>
        <a:xfrm rot="10800000" flipV="1">
          <a:off x="1143000" y="4191001"/>
          <a:ext cx="1986641" cy="20410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rgbClr val="FF0000"/>
              </a:solidFill>
            </a:rPr>
            <a:t>ΕΙΣΑΓΩΓΗ</a:t>
          </a:r>
          <a:r>
            <a:rPr lang="el-GR" sz="1100" baseline="0">
              <a:solidFill>
                <a:srgbClr val="FF0000"/>
              </a:solidFill>
            </a:rPr>
            <a:t> ΜΗΚΟΥΣ ΣΕ ΜΕΤΡΑ </a:t>
          </a:r>
          <a:endParaRPr lang="el-GR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326570</xdr:colOff>
      <xdr:row>22</xdr:row>
      <xdr:rowOff>95250</xdr:rowOff>
    </xdr:from>
    <xdr:to>
      <xdr:col>4</xdr:col>
      <xdr:colOff>27215</xdr:colOff>
      <xdr:row>22</xdr:row>
      <xdr:rowOff>102054</xdr:rowOff>
    </xdr:to>
    <xdr:cxnSp macro="">
      <xdr:nvCxnSpPr>
        <xdr:cNvPr id="59" name="58 - Ευθύγραμμο βέλος σύνδεσης"/>
        <xdr:cNvCxnSpPr>
          <a:stCxn id="57" idx="1"/>
        </xdr:cNvCxnSpPr>
      </xdr:nvCxnSpPr>
      <xdr:spPr>
        <a:xfrm flipV="1">
          <a:off x="3129641" y="4286250"/>
          <a:ext cx="830038" cy="6804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83344</xdr:colOff>
      <xdr:row>4</xdr:row>
      <xdr:rowOff>47626</xdr:rowOff>
    </xdr:from>
    <xdr:to>
      <xdr:col>1</xdr:col>
      <xdr:colOff>654843</xdr:colOff>
      <xdr:row>6</xdr:row>
      <xdr:rowOff>11908</xdr:rowOff>
    </xdr:to>
    <xdr:sp macro="" textlink="">
      <xdr:nvSpPr>
        <xdr:cNvPr id="68" name="67 - TextBox"/>
        <xdr:cNvSpPr txBox="1"/>
      </xdr:nvSpPr>
      <xdr:spPr>
        <a:xfrm>
          <a:off x="83344" y="809626"/>
          <a:ext cx="2690812" cy="3452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l-GR" sz="1100">
              <a:solidFill>
                <a:srgbClr val="FF0000"/>
              </a:solidFill>
            </a:rPr>
            <a:t>ΕΠΙΛΟΓΗ ΕΙΔΙΚΗΣ ΑΝΤΙΣΤΑΣΗΣ ΥΛΙΚΟΥ</a:t>
          </a:r>
        </a:p>
      </xdr:txBody>
    </xdr:sp>
    <xdr:clientData/>
  </xdr:twoCellAnchor>
  <xdr:twoCellAnchor>
    <xdr:from>
      <xdr:col>1</xdr:col>
      <xdr:colOff>642937</xdr:colOff>
      <xdr:row>5</xdr:row>
      <xdr:rowOff>29767</xdr:rowOff>
    </xdr:from>
    <xdr:to>
      <xdr:col>1</xdr:col>
      <xdr:colOff>654843</xdr:colOff>
      <xdr:row>7</xdr:row>
      <xdr:rowOff>0</xdr:rowOff>
    </xdr:to>
    <xdr:cxnSp macro="">
      <xdr:nvCxnSpPr>
        <xdr:cNvPr id="71" name="70 - Ευθύγραμμο βέλος σύνδεσης"/>
        <xdr:cNvCxnSpPr>
          <a:stCxn id="68" idx="3"/>
        </xdr:cNvCxnSpPr>
      </xdr:nvCxnSpPr>
      <xdr:spPr>
        <a:xfrm flipH="1">
          <a:off x="2762250" y="982267"/>
          <a:ext cx="11906" cy="363139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654843</xdr:colOff>
      <xdr:row>5</xdr:row>
      <xdr:rowOff>29767</xdr:rowOff>
    </xdr:from>
    <xdr:to>
      <xdr:col>9</xdr:col>
      <xdr:colOff>511969</xdr:colOff>
      <xdr:row>5</xdr:row>
      <xdr:rowOff>35719</xdr:rowOff>
    </xdr:to>
    <xdr:cxnSp macro="">
      <xdr:nvCxnSpPr>
        <xdr:cNvPr id="73" name="72 - Ευθύγραμμο βέλος σύνδεσης"/>
        <xdr:cNvCxnSpPr>
          <a:stCxn id="68" idx="3"/>
        </xdr:cNvCxnSpPr>
      </xdr:nvCxnSpPr>
      <xdr:spPr>
        <a:xfrm>
          <a:off x="2774156" y="982267"/>
          <a:ext cx="6012657" cy="5952"/>
        </a:xfrm>
        <a:prstGeom prst="straightConnector1">
          <a:avLst/>
        </a:prstGeom>
        <a:ln>
          <a:solidFill>
            <a:schemeClr val="accent2">
              <a:lumMod val="20000"/>
              <a:lumOff val="80000"/>
            </a:schemeClr>
          </a:solidFill>
          <a:headEnd type="arrow" w="med" len="med"/>
          <a:tailEnd type="arrow" w="med" len="med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2095500</xdr:colOff>
      <xdr:row>18</xdr:row>
      <xdr:rowOff>163286</xdr:rowOff>
    </xdr:from>
    <xdr:to>
      <xdr:col>1</xdr:col>
      <xdr:colOff>666750</xdr:colOff>
      <xdr:row>20</xdr:row>
      <xdr:rowOff>27215</xdr:rowOff>
    </xdr:to>
    <xdr:sp macro="" textlink="">
      <xdr:nvSpPr>
        <xdr:cNvPr id="75" name="74 - Ορθογώνιο"/>
        <xdr:cNvSpPr/>
      </xdr:nvSpPr>
      <xdr:spPr>
        <a:xfrm>
          <a:off x="2095500" y="3714750"/>
          <a:ext cx="693964" cy="244929"/>
        </a:xfrm>
        <a:prstGeom prst="rect">
          <a:avLst/>
        </a:prstGeom>
        <a:noFill/>
        <a:ln>
          <a:solidFill>
            <a:srgbClr val="FF0000"/>
          </a:solidFill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0</xdr:col>
      <xdr:colOff>1276350</xdr:colOff>
      <xdr:row>19</xdr:row>
      <xdr:rowOff>95250</xdr:rowOff>
    </xdr:from>
    <xdr:to>
      <xdr:col>0</xdr:col>
      <xdr:colOff>2095500</xdr:colOff>
      <xdr:row>19</xdr:row>
      <xdr:rowOff>95251</xdr:rowOff>
    </xdr:to>
    <xdr:cxnSp macro="">
      <xdr:nvCxnSpPr>
        <xdr:cNvPr id="77" name="76 - Ευθύγραμμο βέλος σύνδεσης"/>
        <xdr:cNvCxnSpPr>
          <a:endCxn id="75" idx="1"/>
        </xdr:cNvCxnSpPr>
      </xdr:nvCxnSpPr>
      <xdr:spPr>
        <a:xfrm>
          <a:off x="1276350" y="3800475"/>
          <a:ext cx="819150" cy="1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149679</xdr:colOff>
      <xdr:row>27</xdr:row>
      <xdr:rowOff>693964</xdr:rowOff>
    </xdr:from>
    <xdr:to>
      <xdr:col>10</xdr:col>
      <xdr:colOff>966107</xdr:colOff>
      <xdr:row>27</xdr:row>
      <xdr:rowOff>4122964</xdr:rowOff>
    </xdr:to>
    <xdr:sp macro="" textlink="">
      <xdr:nvSpPr>
        <xdr:cNvPr id="66" name="65 - Ορθογώνιο"/>
        <xdr:cNvSpPr/>
      </xdr:nvSpPr>
      <xdr:spPr>
        <a:xfrm>
          <a:off x="8436429" y="5987143"/>
          <a:ext cx="1020535" cy="3429000"/>
        </a:xfrm>
        <a:prstGeom prst="rect">
          <a:avLst/>
        </a:prstGeom>
        <a:noFill/>
        <a:ln>
          <a:solidFill>
            <a:srgbClr val="FF0000"/>
          </a:solidFill>
          <a:prstDash val="dashDot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10</xdr:col>
      <xdr:colOff>122465</xdr:colOff>
      <xdr:row>23</xdr:row>
      <xdr:rowOff>95250</xdr:rowOff>
    </xdr:from>
    <xdr:to>
      <xdr:col>10</xdr:col>
      <xdr:colOff>136072</xdr:colOff>
      <xdr:row>27</xdr:row>
      <xdr:rowOff>1143000</xdr:rowOff>
    </xdr:to>
    <xdr:cxnSp macro="">
      <xdr:nvCxnSpPr>
        <xdr:cNvPr id="70" name="69 - Ευθύγραμμο βέλος σύνδεσης"/>
        <xdr:cNvCxnSpPr/>
      </xdr:nvCxnSpPr>
      <xdr:spPr>
        <a:xfrm>
          <a:off x="8613322" y="4599214"/>
          <a:ext cx="13607" cy="1836965"/>
        </a:xfrm>
        <a:prstGeom prst="straightConnector1">
          <a:avLst/>
        </a:prstGeom>
        <a:ln>
          <a:solidFill>
            <a:srgbClr val="FF0000"/>
          </a:solidFill>
          <a:tailEnd type="arrow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557893</xdr:colOff>
      <xdr:row>24</xdr:row>
      <xdr:rowOff>136072</xdr:rowOff>
    </xdr:from>
    <xdr:to>
      <xdr:col>18</xdr:col>
      <xdr:colOff>68035</xdr:colOff>
      <xdr:row>26</xdr:row>
      <xdr:rowOff>81643</xdr:rowOff>
    </xdr:to>
    <xdr:sp macro="" textlink="">
      <xdr:nvSpPr>
        <xdr:cNvPr id="78" name="77 - Ορθογώνιο"/>
        <xdr:cNvSpPr/>
      </xdr:nvSpPr>
      <xdr:spPr>
        <a:xfrm>
          <a:off x="14165036" y="4830536"/>
          <a:ext cx="734785" cy="381000"/>
        </a:xfrm>
        <a:prstGeom prst="rect">
          <a:avLst/>
        </a:prstGeom>
        <a:noFill/>
        <a:ln w="28575">
          <a:solidFill>
            <a:srgbClr val="FF0000"/>
          </a:solidFill>
          <a:prstDash val="lgDashDot"/>
        </a:ln>
        <a:effectLst>
          <a:glow rad="635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21</xdr:col>
      <xdr:colOff>367393</xdr:colOff>
      <xdr:row>24</xdr:row>
      <xdr:rowOff>27215</xdr:rowOff>
    </xdr:from>
    <xdr:to>
      <xdr:col>26</xdr:col>
      <xdr:colOff>190500</xdr:colOff>
      <xdr:row>27</xdr:row>
      <xdr:rowOff>1088571</xdr:rowOff>
    </xdr:to>
    <xdr:sp macro="" textlink="">
      <xdr:nvSpPr>
        <xdr:cNvPr id="82" name="81 - TextBox"/>
        <xdr:cNvSpPr txBox="1"/>
      </xdr:nvSpPr>
      <xdr:spPr>
        <a:xfrm>
          <a:off x="17036143" y="4721679"/>
          <a:ext cx="3075214" cy="1700892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  <a:prstDash val="sysDot"/>
        </a:ln>
        <a:effectLst>
          <a:glow rad="2286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l-GR" sz="1400">
              <a:solidFill>
                <a:srgbClr val="FF0000"/>
              </a:solidFill>
            </a:rPr>
            <a:t>Στο</a:t>
          </a:r>
          <a:r>
            <a:rPr lang="el-GR" sz="1400" baseline="0">
              <a:solidFill>
                <a:srgbClr val="FF0000"/>
              </a:solidFill>
            </a:rPr>
            <a:t> φύλλο 2 αλλάξτε ρυθμίσεις σχετικές με </a:t>
          </a:r>
        </a:p>
        <a:p>
          <a:pPr algn="l"/>
          <a:r>
            <a:rPr lang="el-GR" sz="1400" baseline="0">
              <a:solidFill>
                <a:srgbClr val="FF0000"/>
              </a:solidFill>
            </a:rPr>
            <a:t>θερμοκρασία</a:t>
          </a:r>
        </a:p>
        <a:p>
          <a:pPr algn="l"/>
          <a:r>
            <a:rPr lang="el-GR" sz="1400" baseline="0">
              <a:solidFill>
                <a:srgbClr val="FF0000"/>
              </a:solidFill>
            </a:rPr>
            <a:t>Πολυπολικά  ή Μονοπολικά</a:t>
          </a:r>
        </a:p>
        <a:p>
          <a:pPr algn="l"/>
          <a:r>
            <a:rPr lang="el-GR" sz="1400" baseline="0">
              <a:solidFill>
                <a:srgbClr val="FF0000"/>
              </a:solidFill>
            </a:rPr>
            <a:t>Αριθμό ενεργών αγωγών  ............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showGridLines="0" tabSelected="1" topLeftCell="A2" zoomScale="70" zoomScaleNormal="70" workbookViewId="0">
      <selection activeCell="G23" sqref="G23"/>
    </sheetView>
  </sheetViews>
  <sheetFormatPr defaultRowHeight="15"/>
  <cols>
    <col min="1" max="1" width="31.85546875" customWidth="1"/>
    <col min="2" max="2" width="10.140625" customWidth="1"/>
    <col min="3" max="3" width="9.85546875" customWidth="1"/>
    <col min="4" max="4" width="7.140625" customWidth="1"/>
    <col min="5" max="5" width="21.85546875" customWidth="1"/>
    <col min="6" max="6" width="11.5703125" customWidth="1"/>
    <col min="7" max="7" width="12.140625" customWidth="1"/>
    <col min="8" max="8" width="9.28515625" bestFit="1" customWidth="1"/>
    <col min="9" max="9" width="10.28515625" bestFit="1" customWidth="1"/>
    <col min="10" max="10" width="3.140625" customWidth="1"/>
    <col min="11" max="11" width="15" customWidth="1"/>
    <col min="14" max="14" width="24.85546875" customWidth="1"/>
    <col min="24" max="24" width="12" bestFit="1" customWidth="1"/>
    <col min="29" max="29" width="11" bestFit="1" customWidth="1"/>
  </cols>
  <sheetData>
    <row r="1" spans="1:28" ht="15.75" thickBot="1">
      <c r="D1" s="79" t="s">
        <v>0</v>
      </c>
      <c r="E1" s="80"/>
      <c r="F1" s="58" t="s">
        <v>85</v>
      </c>
      <c r="K1" t="s">
        <v>8</v>
      </c>
      <c r="O1" t="s">
        <v>131</v>
      </c>
      <c r="W1" t="s">
        <v>130</v>
      </c>
    </row>
    <row r="2" spans="1:28">
      <c r="A2" s="68" t="s">
        <v>23</v>
      </c>
      <c r="B2" s="69"/>
      <c r="C2" s="69"/>
      <c r="D2" s="69" t="s">
        <v>1</v>
      </c>
      <c r="E2" s="70">
        <v>0</v>
      </c>
      <c r="F2" s="71" t="s">
        <v>1</v>
      </c>
      <c r="G2" s="71" t="s">
        <v>2</v>
      </c>
      <c r="H2" s="72" t="s">
        <v>3</v>
      </c>
      <c r="K2" s="61" t="s">
        <v>9</v>
      </c>
      <c r="L2" s="61">
        <v>1.6E-2</v>
      </c>
      <c r="M2" s="60">
        <v>1</v>
      </c>
      <c r="N2" s="40" t="s">
        <v>125</v>
      </c>
      <c r="O2" s="40">
        <v>30</v>
      </c>
      <c r="P2" s="40">
        <v>35</v>
      </c>
      <c r="Q2" s="40">
        <v>40</v>
      </c>
      <c r="R2" s="40">
        <v>45</v>
      </c>
      <c r="S2" s="40">
        <v>50</v>
      </c>
      <c r="T2" s="40">
        <v>55</v>
      </c>
      <c r="V2" s="40" t="s">
        <v>125</v>
      </c>
      <c r="W2" s="40">
        <v>30</v>
      </c>
      <c r="X2" s="40">
        <v>35</v>
      </c>
      <c r="Y2" s="40">
        <v>40</v>
      </c>
      <c r="Z2" s="40">
        <v>45</v>
      </c>
      <c r="AA2" s="40">
        <v>50</v>
      </c>
      <c r="AB2" s="40">
        <v>55</v>
      </c>
    </row>
    <row r="3" spans="1:28">
      <c r="A3" s="73" t="s">
        <v>24</v>
      </c>
      <c r="B3" s="66"/>
      <c r="C3" s="66"/>
      <c r="D3" s="66" t="s">
        <v>2</v>
      </c>
      <c r="E3" s="65"/>
      <c r="F3" s="67">
        <f>SUM(E3*E4)</f>
        <v>0</v>
      </c>
      <c r="G3" s="67" t="e">
        <f>SUM(E2/E4)</f>
        <v>#DIV/0!</v>
      </c>
      <c r="H3" s="74" t="e">
        <f>SUM(E2/E3)</f>
        <v>#DIV/0!</v>
      </c>
      <c r="K3" s="61" t="s">
        <v>10</v>
      </c>
      <c r="L3" s="61">
        <v>1.7000000000000001E-2</v>
      </c>
      <c r="M3" s="60">
        <v>2</v>
      </c>
      <c r="N3" s="41" t="s">
        <v>126</v>
      </c>
      <c r="O3" s="42" t="s">
        <v>122</v>
      </c>
      <c r="P3" s="42" t="s">
        <v>122</v>
      </c>
      <c r="Q3" s="42" t="s">
        <v>122</v>
      </c>
      <c r="R3" s="42" t="s">
        <v>122</v>
      </c>
      <c r="S3" s="42" t="s">
        <v>122</v>
      </c>
      <c r="T3" s="42" t="s">
        <v>122</v>
      </c>
      <c r="V3" s="41" t="s">
        <v>126</v>
      </c>
      <c r="W3" s="42" t="s">
        <v>122</v>
      </c>
      <c r="X3" s="42" t="s">
        <v>122</v>
      </c>
      <c r="Y3" s="42" t="s">
        <v>122</v>
      </c>
      <c r="Z3" s="42" t="s">
        <v>122</v>
      </c>
      <c r="AA3" s="42" t="s">
        <v>122</v>
      </c>
      <c r="AB3" s="42" t="s">
        <v>122</v>
      </c>
    </row>
    <row r="4" spans="1:28" ht="15.75" thickBot="1">
      <c r="A4" s="75" t="s">
        <v>25</v>
      </c>
      <c r="B4" s="76"/>
      <c r="C4" s="76"/>
      <c r="D4" s="76" t="s">
        <v>3</v>
      </c>
      <c r="E4" s="77">
        <v>0</v>
      </c>
      <c r="F4" s="76"/>
      <c r="G4" s="76"/>
      <c r="H4" s="78"/>
      <c r="K4" s="61" t="s">
        <v>11</v>
      </c>
      <c r="L4" s="61">
        <v>2.1999999999999999E-2</v>
      </c>
      <c r="M4" s="60">
        <v>3</v>
      </c>
      <c r="N4" s="43" t="s">
        <v>127</v>
      </c>
      <c r="O4" s="42">
        <v>6</v>
      </c>
      <c r="P4" s="42">
        <v>6</v>
      </c>
      <c r="Q4" s="42">
        <v>6</v>
      </c>
      <c r="R4" s="42">
        <v>6</v>
      </c>
      <c r="S4" s="42">
        <v>4</v>
      </c>
      <c r="T4" s="42">
        <v>2</v>
      </c>
      <c r="V4" s="43"/>
      <c r="W4" s="42"/>
      <c r="X4" s="42"/>
      <c r="Y4" s="42"/>
      <c r="Z4" s="42"/>
      <c r="AA4" s="42"/>
      <c r="AB4" s="42"/>
    </row>
    <row r="5" spans="1:28" ht="15.75" thickBot="1">
      <c r="K5" s="61" t="s">
        <v>12</v>
      </c>
      <c r="L5" s="61">
        <v>0.96</v>
      </c>
      <c r="M5" s="60">
        <v>4</v>
      </c>
      <c r="N5" s="41">
        <v>1.5</v>
      </c>
      <c r="O5" s="42">
        <v>10</v>
      </c>
      <c r="P5" s="42">
        <v>10</v>
      </c>
      <c r="Q5" s="42">
        <v>10</v>
      </c>
      <c r="R5" s="42">
        <v>10</v>
      </c>
      <c r="S5" s="42">
        <v>10</v>
      </c>
      <c r="T5" s="42">
        <v>6</v>
      </c>
      <c r="V5" s="41">
        <v>1.5</v>
      </c>
      <c r="W5" s="42">
        <v>20</v>
      </c>
      <c r="X5" s="42">
        <v>16</v>
      </c>
      <c r="Y5" s="42">
        <v>16</v>
      </c>
      <c r="Z5" s="42">
        <v>10</v>
      </c>
      <c r="AA5" s="42">
        <v>10</v>
      </c>
      <c r="AB5" s="42">
        <v>6</v>
      </c>
    </row>
    <row r="6" spans="1:28" ht="15.75" thickBot="1">
      <c r="D6" s="85" t="s">
        <v>6</v>
      </c>
      <c r="E6" s="86"/>
      <c r="F6" s="86"/>
      <c r="G6" s="88" t="s">
        <v>86</v>
      </c>
      <c r="K6" s="61" t="s">
        <v>13</v>
      </c>
      <c r="L6" s="61">
        <v>1.06</v>
      </c>
      <c r="M6" s="60">
        <v>5</v>
      </c>
      <c r="N6" s="41">
        <v>2.5</v>
      </c>
      <c r="O6" s="42">
        <v>16</v>
      </c>
      <c r="P6" s="42">
        <v>16</v>
      </c>
      <c r="Q6" s="42">
        <v>16</v>
      </c>
      <c r="R6" s="42">
        <v>16</v>
      </c>
      <c r="S6" s="42">
        <v>16</v>
      </c>
      <c r="T6" s="42">
        <v>10</v>
      </c>
      <c r="V6" s="41">
        <v>2.5</v>
      </c>
      <c r="W6" s="42">
        <v>25</v>
      </c>
      <c r="X6" s="42">
        <v>25</v>
      </c>
      <c r="Y6" s="42">
        <v>25</v>
      </c>
      <c r="Z6" s="42">
        <v>20</v>
      </c>
      <c r="AA6" s="42">
        <v>16</v>
      </c>
      <c r="AB6" s="42">
        <v>10</v>
      </c>
    </row>
    <row r="7" spans="1:28" ht="15.75" thickBot="1">
      <c r="A7" s="85" t="s">
        <v>26</v>
      </c>
      <c r="B7" s="86"/>
      <c r="C7" s="86"/>
      <c r="D7" s="86" t="s">
        <v>2</v>
      </c>
      <c r="E7" s="87"/>
      <c r="F7" s="86"/>
      <c r="G7" s="86"/>
      <c r="H7" s="86"/>
      <c r="I7" s="88"/>
      <c r="K7" s="61" t="s">
        <v>14</v>
      </c>
      <c r="L7" s="61" t="s">
        <v>15</v>
      </c>
      <c r="M7" s="60">
        <v>6</v>
      </c>
      <c r="N7" s="41">
        <v>4</v>
      </c>
      <c r="O7" s="42">
        <v>25</v>
      </c>
      <c r="P7" s="42">
        <v>25</v>
      </c>
      <c r="Q7" s="42">
        <v>20</v>
      </c>
      <c r="R7" s="42">
        <v>20</v>
      </c>
      <c r="S7" s="42">
        <v>16</v>
      </c>
      <c r="T7" s="42">
        <v>16</v>
      </c>
      <c r="V7" s="41">
        <v>4</v>
      </c>
      <c r="W7" s="42">
        <v>35</v>
      </c>
      <c r="X7" s="42">
        <v>35</v>
      </c>
      <c r="Y7" s="42">
        <v>25</v>
      </c>
      <c r="Z7" s="42">
        <v>25</v>
      </c>
      <c r="AA7" s="42">
        <v>20</v>
      </c>
      <c r="AB7" s="42">
        <v>16</v>
      </c>
    </row>
    <row r="8" spans="1:28" ht="15.75" thickBot="1">
      <c r="A8" s="84" t="s">
        <v>27</v>
      </c>
      <c r="B8" s="176">
        <v>2</v>
      </c>
      <c r="C8" s="61" t="str">
        <f>CHOOSE(B8,K2,K3,K4,K5,K6,K7,K8,K9,K10,K11,K12)</f>
        <v>Χαλκός</v>
      </c>
      <c r="D8" s="62" t="s">
        <v>7</v>
      </c>
      <c r="E8" s="63">
        <f>CHOOSE(B8,L2,L3,L4,L5,L6,L7,L8,L9,L10,L11,L12)</f>
        <v>1.7000000000000001E-2</v>
      </c>
      <c r="F8" s="102" t="s">
        <v>2</v>
      </c>
      <c r="G8" s="102" t="s">
        <v>5</v>
      </c>
      <c r="H8" s="102" t="s">
        <v>4</v>
      </c>
      <c r="I8" s="102" t="s">
        <v>7</v>
      </c>
      <c r="K8" s="61" t="s">
        <v>16</v>
      </c>
      <c r="L8" s="61">
        <v>2.7E-2</v>
      </c>
      <c r="M8" s="60">
        <v>7</v>
      </c>
      <c r="N8" s="41">
        <v>6</v>
      </c>
      <c r="O8" s="42">
        <v>35</v>
      </c>
      <c r="P8" s="42">
        <v>25</v>
      </c>
      <c r="Q8" s="42">
        <v>25</v>
      </c>
      <c r="R8" s="42">
        <v>25</v>
      </c>
      <c r="S8" s="42">
        <v>25</v>
      </c>
      <c r="T8" s="42">
        <v>20</v>
      </c>
      <c r="V8" s="41">
        <v>6</v>
      </c>
      <c r="W8" s="42">
        <v>50</v>
      </c>
      <c r="X8" s="42">
        <v>35</v>
      </c>
      <c r="Y8" s="42">
        <v>35</v>
      </c>
      <c r="Z8" s="42">
        <v>35</v>
      </c>
      <c r="AA8" s="42">
        <v>25</v>
      </c>
      <c r="AB8" s="42">
        <v>20</v>
      </c>
    </row>
    <row r="9" spans="1:28">
      <c r="A9" s="95" t="s">
        <v>29</v>
      </c>
      <c r="B9" s="96"/>
      <c r="C9" s="96"/>
      <c r="D9" s="96" t="s">
        <v>4</v>
      </c>
      <c r="E9" s="97"/>
      <c r="F9" s="102" t="e">
        <f>SUM((E8*E9)/E10)</f>
        <v>#DIV/0!</v>
      </c>
      <c r="G9" s="102" t="e">
        <f>SUM((E8*E9)/E7)</f>
        <v>#DIV/0!</v>
      </c>
      <c r="H9" s="102">
        <f>SUM((E7*E10)/E8)</f>
        <v>0</v>
      </c>
      <c r="I9" s="102" t="e">
        <f>SUM((E7*E10)/E9)</f>
        <v>#DIV/0!</v>
      </c>
      <c r="K9" s="61" t="s">
        <v>17</v>
      </c>
      <c r="L9" s="61">
        <v>6.0999999999999999E-2</v>
      </c>
      <c r="M9" s="60">
        <v>8</v>
      </c>
      <c r="N9" s="41">
        <v>10</v>
      </c>
      <c r="O9" s="42">
        <v>50</v>
      </c>
      <c r="P9" s="42">
        <v>35</v>
      </c>
      <c r="Q9" s="42">
        <v>35</v>
      </c>
      <c r="R9" s="42">
        <v>35</v>
      </c>
      <c r="S9" s="42">
        <v>35</v>
      </c>
      <c r="T9" s="42">
        <v>25</v>
      </c>
      <c r="V9" s="41">
        <v>10</v>
      </c>
      <c r="W9" s="42">
        <v>63</v>
      </c>
      <c r="X9" s="42">
        <v>50</v>
      </c>
      <c r="Y9" s="42">
        <v>50</v>
      </c>
      <c r="Z9" s="42">
        <v>35</v>
      </c>
      <c r="AA9" s="42">
        <v>35</v>
      </c>
      <c r="AB9" s="42">
        <v>25</v>
      </c>
    </row>
    <row r="10" spans="1:28" ht="15.75" thickBot="1">
      <c r="A10" s="98" t="s">
        <v>28</v>
      </c>
      <c r="B10" s="99"/>
      <c r="C10" s="99"/>
      <c r="D10" s="99" t="s">
        <v>5</v>
      </c>
      <c r="E10" s="100"/>
      <c r="F10" s="99"/>
      <c r="G10" s="99"/>
      <c r="H10" s="99"/>
      <c r="I10" s="101"/>
      <c r="K10" s="61" t="s">
        <v>18</v>
      </c>
      <c r="L10" s="61" t="s">
        <v>19</v>
      </c>
      <c r="M10" s="60">
        <v>9</v>
      </c>
      <c r="N10" s="41">
        <v>16</v>
      </c>
      <c r="O10" s="42">
        <v>63</v>
      </c>
      <c r="P10" s="42">
        <v>63</v>
      </c>
      <c r="Q10" s="42">
        <v>50</v>
      </c>
      <c r="R10" s="42">
        <v>50</v>
      </c>
      <c r="S10" s="42">
        <v>35</v>
      </c>
      <c r="T10" s="42">
        <v>35</v>
      </c>
      <c r="V10" s="41">
        <v>16</v>
      </c>
      <c r="W10" s="42">
        <v>80</v>
      </c>
      <c r="X10" s="42">
        <v>80</v>
      </c>
      <c r="Y10" s="42">
        <v>63</v>
      </c>
      <c r="Z10" s="42">
        <v>63</v>
      </c>
      <c r="AA10" s="42">
        <v>50</v>
      </c>
      <c r="AB10" s="42">
        <v>35</v>
      </c>
    </row>
    <row r="11" spans="1:28">
      <c r="K11" s="61" t="s">
        <v>20</v>
      </c>
      <c r="L11" s="61" t="s">
        <v>21</v>
      </c>
      <c r="M11" s="60">
        <v>10</v>
      </c>
      <c r="N11" s="41">
        <v>25</v>
      </c>
      <c r="O11" s="42">
        <v>100</v>
      </c>
      <c r="P11" s="42">
        <v>80</v>
      </c>
      <c r="Q11" s="42">
        <v>80</v>
      </c>
      <c r="R11" s="42">
        <v>63</v>
      </c>
      <c r="S11" s="42">
        <v>63</v>
      </c>
      <c r="T11" s="42">
        <v>35</v>
      </c>
      <c r="V11" s="41">
        <v>25</v>
      </c>
      <c r="W11" s="42">
        <v>125</v>
      </c>
      <c r="X11" s="42">
        <v>100</v>
      </c>
      <c r="Y11" s="42">
        <v>100</v>
      </c>
      <c r="Z11" s="42">
        <v>80</v>
      </c>
      <c r="AA11" s="42">
        <v>63</v>
      </c>
      <c r="AB11" s="42">
        <v>50</v>
      </c>
    </row>
    <row r="12" spans="1:28" ht="15.75" thickBot="1">
      <c r="K12" s="61" t="s">
        <v>22</v>
      </c>
      <c r="L12" s="61">
        <v>0.21</v>
      </c>
      <c r="M12" s="60">
        <v>11</v>
      </c>
      <c r="N12" s="41">
        <v>35</v>
      </c>
      <c r="O12" s="42">
        <v>100</v>
      </c>
      <c r="P12" s="42">
        <v>100</v>
      </c>
      <c r="Q12" s="42">
        <v>80</v>
      </c>
      <c r="R12" s="42">
        <v>80</v>
      </c>
      <c r="S12" s="42">
        <v>63</v>
      </c>
      <c r="T12" s="42">
        <v>50</v>
      </c>
      <c r="V12" s="41">
        <v>35</v>
      </c>
      <c r="W12" s="42">
        <v>125</v>
      </c>
      <c r="X12" s="42">
        <v>125</v>
      </c>
      <c r="Y12" s="42">
        <v>125</v>
      </c>
      <c r="Z12" s="42">
        <v>100</v>
      </c>
      <c r="AA12" s="42">
        <v>80</v>
      </c>
      <c r="AB12" s="42">
        <v>63</v>
      </c>
    </row>
    <row r="13" spans="1:28" ht="15.75" thickBot="1">
      <c r="D13" s="103" t="s">
        <v>30</v>
      </c>
      <c r="E13" s="104"/>
      <c r="F13" s="104"/>
      <c r="G13" s="104" t="s">
        <v>87</v>
      </c>
      <c r="H13" s="104" t="s">
        <v>88</v>
      </c>
      <c r="I13" s="105"/>
      <c r="N13" s="41">
        <v>50</v>
      </c>
      <c r="O13" s="42">
        <v>125</v>
      </c>
      <c r="P13" s="42">
        <v>100</v>
      </c>
      <c r="Q13" s="42">
        <v>100</v>
      </c>
      <c r="R13" s="42">
        <v>100</v>
      </c>
      <c r="S13" s="42">
        <v>80</v>
      </c>
      <c r="T13" s="42">
        <v>63</v>
      </c>
      <c r="V13" s="41">
        <v>50</v>
      </c>
      <c r="W13" s="42">
        <v>160</v>
      </c>
      <c r="X13" s="42">
        <v>160</v>
      </c>
      <c r="Y13" s="42">
        <v>160</v>
      </c>
      <c r="Z13" s="42">
        <v>1250</v>
      </c>
      <c r="AA13" s="42">
        <v>100</v>
      </c>
      <c r="AB13" s="42">
        <v>80</v>
      </c>
    </row>
    <row r="14" spans="1:28">
      <c r="A14" s="106" t="s">
        <v>36</v>
      </c>
      <c r="B14" s="107"/>
      <c r="C14" s="107"/>
      <c r="D14" s="108" t="s">
        <v>34</v>
      </c>
      <c r="E14" s="109">
        <f>SUM(E30*E26)</f>
        <v>4.6000000000000005</v>
      </c>
      <c r="F14" s="108"/>
      <c r="G14" s="108"/>
      <c r="H14" s="108"/>
      <c r="I14" s="110"/>
      <c r="N14" s="41">
        <v>70</v>
      </c>
      <c r="O14" s="42">
        <v>160</v>
      </c>
      <c r="P14" s="42">
        <v>125</v>
      </c>
      <c r="Q14" s="42">
        <v>125</v>
      </c>
      <c r="R14" s="42">
        <v>125</v>
      </c>
      <c r="S14" s="42">
        <v>100</v>
      </c>
      <c r="T14" s="42">
        <v>100</v>
      </c>
      <c r="V14" s="41">
        <v>70</v>
      </c>
      <c r="W14" s="42">
        <v>200</v>
      </c>
      <c r="X14" s="42">
        <v>200</v>
      </c>
      <c r="Y14" s="42">
        <v>160</v>
      </c>
      <c r="Z14" s="42">
        <v>160</v>
      </c>
      <c r="AA14" s="42">
        <v>125</v>
      </c>
      <c r="AB14" s="42">
        <v>80</v>
      </c>
    </row>
    <row r="15" spans="1:28">
      <c r="A15" s="111" t="s">
        <v>31</v>
      </c>
      <c r="B15" s="108"/>
      <c r="C15" s="108"/>
      <c r="D15" s="108" t="s">
        <v>2</v>
      </c>
      <c r="E15" s="112">
        <v>0</v>
      </c>
      <c r="F15" s="108"/>
      <c r="G15" s="117" t="s">
        <v>40</v>
      </c>
      <c r="H15" s="117" t="s">
        <v>41</v>
      </c>
      <c r="I15" s="110"/>
      <c r="N15" s="41">
        <v>95</v>
      </c>
      <c r="O15" s="42">
        <v>160</v>
      </c>
      <c r="P15" s="42">
        <v>160</v>
      </c>
      <c r="Q15" s="42">
        <v>160</v>
      </c>
      <c r="R15" s="42">
        <v>125</v>
      </c>
      <c r="S15" s="42">
        <v>125</v>
      </c>
      <c r="T15" s="42">
        <v>100</v>
      </c>
      <c r="V15" s="41">
        <v>95</v>
      </c>
      <c r="W15" s="42">
        <v>250</v>
      </c>
      <c r="X15" s="42">
        <v>200</v>
      </c>
      <c r="Y15" s="42">
        <v>200</v>
      </c>
      <c r="Z15" s="42">
        <v>160</v>
      </c>
      <c r="AA15" s="42">
        <v>125</v>
      </c>
      <c r="AB15" s="42">
        <v>100</v>
      </c>
    </row>
    <row r="16" spans="1:28">
      <c r="A16" s="111" t="s">
        <v>32</v>
      </c>
      <c r="B16" s="108"/>
      <c r="C16" s="108"/>
      <c r="D16" s="108" t="s">
        <v>3</v>
      </c>
      <c r="E16" s="118">
        <v>0</v>
      </c>
      <c r="F16" s="117" t="s">
        <v>33</v>
      </c>
      <c r="G16" s="117" t="s">
        <v>35</v>
      </c>
      <c r="H16" s="117" t="s">
        <v>39</v>
      </c>
      <c r="I16" s="110"/>
      <c r="N16" s="41">
        <v>120</v>
      </c>
      <c r="O16" s="42">
        <v>200</v>
      </c>
      <c r="P16" s="42">
        <v>200</v>
      </c>
      <c r="Q16" s="42">
        <v>160</v>
      </c>
      <c r="R16" s="42">
        <v>160</v>
      </c>
      <c r="S16" s="42">
        <v>160</v>
      </c>
      <c r="T16" s="42">
        <v>125</v>
      </c>
      <c r="V16" s="41">
        <v>120</v>
      </c>
      <c r="W16" s="42">
        <v>300</v>
      </c>
      <c r="X16" s="42">
        <v>300</v>
      </c>
      <c r="Y16" s="42">
        <v>250</v>
      </c>
      <c r="Z16" s="42">
        <v>200</v>
      </c>
      <c r="AA16" s="42">
        <v>160</v>
      </c>
      <c r="AB16" s="42">
        <v>125</v>
      </c>
    </row>
    <row r="17" spans="1:31">
      <c r="A17" s="113" t="s">
        <v>37</v>
      </c>
      <c r="B17" s="114"/>
      <c r="C17" s="114"/>
      <c r="D17" s="114" t="s">
        <v>38</v>
      </c>
      <c r="E17" s="115"/>
      <c r="F17" s="117">
        <f>SUM(E15*E16)</f>
        <v>0</v>
      </c>
      <c r="G17" s="117">
        <f>SUM(E15*E16)</f>
        <v>0</v>
      </c>
      <c r="H17" s="117">
        <f>SUM(G17*SQRT(3))</f>
        <v>0</v>
      </c>
      <c r="I17" s="116"/>
      <c r="N17" s="41">
        <v>150</v>
      </c>
      <c r="O17" s="42">
        <v>250</v>
      </c>
      <c r="P17" s="42">
        <v>200</v>
      </c>
      <c r="Q17" s="42">
        <v>200</v>
      </c>
      <c r="R17" s="42">
        <v>200</v>
      </c>
      <c r="S17" s="42">
        <v>160</v>
      </c>
      <c r="T17" s="42">
        <v>125</v>
      </c>
      <c r="V17" s="41"/>
      <c r="W17" s="42"/>
      <c r="X17" s="42"/>
      <c r="Y17" s="42"/>
      <c r="Z17" s="42"/>
      <c r="AA17" s="42"/>
      <c r="AB17" s="42"/>
    </row>
    <row r="18" spans="1:31">
      <c r="N18" s="41">
        <v>185</v>
      </c>
      <c r="O18" s="42">
        <v>250</v>
      </c>
      <c r="P18" s="42">
        <v>250</v>
      </c>
      <c r="Q18" s="42">
        <v>250</v>
      </c>
      <c r="R18" s="42">
        <v>200</v>
      </c>
      <c r="S18" s="42">
        <v>200</v>
      </c>
      <c r="T18" s="42">
        <v>160</v>
      </c>
      <c r="V18" s="41">
        <v>185</v>
      </c>
      <c r="W18" s="42">
        <v>400</v>
      </c>
      <c r="X18" s="42">
        <v>350</v>
      </c>
      <c r="Y18" s="42">
        <v>350</v>
      </c>
      <c r="Z18" s="42">
        <v>300</v>
      </c>
      <c r="AA18" s="42">
        <v>250</v>
      </c>
      <c r="AB18" s="42">
        <v>160</v>
      </c>
    </row>
    <row r="19" spans="1:31">
      <c r="A19" s="22" t="s">
        <v>162</v>
      </c>
      <c r="B19" s="18" t="str">
        <f>CHOOSE(B20,G32,H32)</f>
        <v>I 1φ</v>
      </c>
      <c r="C19" s="18" t="s">
        <v>113</v>
      </c>
      <c r="D19" s="20" t="s">
        <v>89</v>
      </c>
      <c r="E19" s="21"/>
      <c r="F19" s="21"/>
      <c r="G19" s="21"/>
      <c r="H19" s="21"/>
      <c r="N19" s="41">
        <v>240</v>
      </c>
      <c r="O19" s="42">
        <v>300</v>
      </c>
      <c r="P19" s="42">
        <v>300</v>
      </c>
      <c r="Q19" s="42">
        <v>300</v>
      </c>
      <c r="R19" s="42">
        <v>250</v>
      </c>
      <c r="S19" s="42">
        <v>225</v>
      </c>
      <c r="T19" s="42">
        <v>200</v>
      </c>
      <c r="V19" s="41">
        <v>240</v>
      </c>
      <c r="W19" s="42">
        <v>500</v>
      </c>
      <c r="X19" s="42">
        <v>400</v>
      </c>
      <c r="Y19" s="42">
        <v>400</v>
      </c>
      <c r="Z19" s="42">
        <v>350</v>
      </c>
      <c r="AA19" s="42">
        <v>250</v>
      </c>
      <c r="AB19" s="42">
        <v>200</v>
      </c>
    </row>
    <row r="20" spans="1:31">
      <c r="A20" s="19" t="s">
        <v>161</v>
      </c>
      <c r="B20" s="35">
        <v>1</v>
      </c>
      <c r="C20" s="18">
        <f>CHOOSE(B20,G33,H33)</f>
        <v>78</v>
      </c>
      <c r="N20" s="41">
        <v>300</v>
      </c>
      <c r="O20" s="42">
        <v>350</v>
      </c>
      <c r="P20" s="42">
        <v>350</v>
      </c>
      <c r="Q20" s="42">
        <v>300</v>
      </c>
      <c r="R20" s="42">
        <v>250</v>
      </c>
      <c r="S20" s="42">
        <v>250</v>
      </c>
      <c r="T20" s="42">
        <v>225</v>
      </c>
      <c r="V20" s="41">
        <v>300</v>
      </c>
      <c r="W20" s="42">
        <v>550</v>
      </c>
      <c r="X20" s="42">
        <v>500</v>
      </c>
      <c r="Y20" s="42">
        <v>400</v>
      </c>
      <c r="Z20" s="42">
        <v>400</v>
      </c>
      <c r="AA20" s="42">
        <v>300</v>
      </c>
      <c r="AB20" s="42">
        <v>200</v>
      </c>
    </row>
    <row r="21" spans="1:31">
      <c r="A21" t="s">
        <v>44</v>
      </c>
      <c r="D21" t="s">
        <v>34</v>
      </c>
      <c r="E21" s="6">
        <f>SUM(E30*E26)</f>
        <v>4.6000000000000005</v>
      </c>
      <c r="F21" s="171" t="s">
        <v>46</v>
      </c>
      <c r="G21" s="172" t="s">
        <v>47</v>
      </c>
      <c r="V21" s="41">
        <v>375</v>
      </c>
      <c r="W21" s="42">
        <v>600</v>
      </c>
      <c r="X21" s="42">
        <v>600</v>
      </c>
      <c r="Y21" s="42">
        <v>500</v>
      </c>
      <c r="Z21" s="42">
        <v>400</v>
      </c>
      <c r="AA21" s="42">
        <v>350</v>
      </c>
      <c r="AB21" s="42">
        <v>250</v>
      </c>
    </row>
    <row r="22" spans="1:31">
      <c r="A22" s="21" t="s">
        <v>27</v>
      </c>
      <c r="B22" s="21"/>
      <c r="C22" s="61" t="str">
        <f>REPT(C8,1)</f>
        <v>Χαλκός</v>
      </c>
      <c r="D22" s="62" t="s">
        <v>7</v>
      </c>
      <c r="E22" s="170" t="str">
        <f>REPT(E8,1)</f>
        <v>0,017</v>
      </c>
      <c r="F22" s="171">
        <f>ROUND(SUM(E8*E23*G25/E21),0)</f>
        <v>54</v>
      </c>
      <c r="G22" s="172">
        <f>ROUND(SUM((E8*2*E23*G25)/E21),0)</f>
        <v>109</v>
      </c>
      <c r="K22" s="31" t="str">
        <f>CHOOSE(B20,G21,F21)</f>
        <v>S 1φ</v>
      </c>
      <c r="V22" s="41">
        <v>400</v>
      </c>
      <c r="W22" s="42">
        <v>600</v>
      </c>
      <c r="X22" s="42">
        <v>600</v>
      </c>
      <c r="Y22" s="42">
        <v>500</v>
      </c>
      <c r="Z22" s="42">
        <v>500</v>
      </c>
      <c r="AA22" s="42">
        <v>400</v>
      </c>
      <c r="AB22" s="42">
        <v>250</v>
      </c>
    </row>
    <row r="23" spans="1:31">
      <c r="A23" t="s">
        <v>45</v>
      </c>
      <c r="D23" t="s">
        <v>4</v>
      </c>
      <c r="E23" s="39">
        <v>150</v>
      </c>
      <c r="K23" s="31">
        <f>CHOOSE(B20,G22,F22)</f>
        <v>109</v>
      </c>
      <c r="V23" s="41">
        <v>500</v>
      </c>
      <c r="W23" s="42">
        <v>800</v>
      </c>
      <c r="X23" s="42">
        <v>600</v>
      </c>
      <c r="Y23" s="42">
        <v>600</v>
      </c>
      <c r="Z23" s="42">
        <v>500</v>
      </c>
      <c r="AA23" s="42">
        <v>400</v>
      </c>
      <c r="AB23" s="42">
        <v>350</v>
      </c>
    </row>
    <row r="24" spans="1:31">
      <c r="A24" t="s">
        <v>43</v>
      </c>
      <c r="D24" t="s">
        <v>5</v>
      </c>
      <c r="E24" s="8"/>
      <c r="F24" s="173">
        <v>0.25</v>
      </c>
      <c r="G24" s="67" t="s">
        <v>129</v>
      </c>
      <c r="N24" s="32" t="str">
        <f>CHOOSE(B20,G32,H32)</f>
        <v>I 1φ</v>
      </c>
    </row>
    <row r="25" spans="1:31">
      <c r="A25" t="s">
        <v>42</v>
      </c>
      <c r="D25" t="s">
        <v>3</v>
      </c>
      <c r="E25" s="175" t="str">
        <f>REPT(C20,1)</f>
        <v>78</v>
      </c>
      <c r="F25" s="174">
        <f>SUM(E25*25%)</f>
        <v>19.5</v>
      </c>
      <c r="G25" s="67">
        <f>ROUND(SUM(E25+F25),0)</f>
        <v>98</v>
      </c>
      <c r="N25" s="32" t="str">
        <f>REPT(G25,1)</f>
        <v>98</v>
      </c>
    </row>
    <row r="26" spans="1:31" ht="19.5" thickBot="1">
      <c r="A26" s="7" t="s">
        <v>128</v>
      </c>
      <c r="B26" s="7"/>
      <c r="C26" s="7"/>
      <c r="E26" s="44">
        <v>0.02</v>
      </c>
      <c r="Q26" s="200" t="s">
        <v>187</v>
      </c>
      <c r="R26" s="199" t="str">
        <f>REPT(Φύλλο2!O8,1)</f>
        <v>120</v>
      </c>
    </row>
    <row r="27" spans="1:31" ht="15.75" thickBot="1">
      <c r="L27" s="56" t="s">
        <v>145</v>
      </c>
      <c r="M27" s="57"/>
    </row>
    <row r="28" spans="1:31" ht="408.75" thickBot="1">
      <c r="A28" s="33" t="s">
        <v>164</v>
      </c>
      <c r="B28" s="11" t="s">
        <v>165</v>
      </c>
      <c r="C28" s="12" t="str">
        <f>CHOOSE(B29,W29,X29,Y29,Z29,AA29,AB29,AC29,AD29,AE29)</f>
        <v>k(KILO)</v>
      </c>
      <c r="D28" s="17" t="s">
        <v>48</v>
      </c>
      <c r="E28" s="16" t="s">
        <v>160</v>
      </c>
      <c r="F28" s="17"/>
      <c r="G28" s="23" t="s">
        <v>163</v>
      </c>
      <c r="K28" s="186" t="str">
        <f>REPT(Φύλλο2!AH20,1)</f>
        <v>ΕΠΙΛΟΓΗ ΚΑΤΑΛΛΗΛΗΣ ΔΙΑΤΟΜΗΣ ΑΠΟ ΤΟΥΣ ΠΙΝΑΚΕΣ ΜΕ ΒΑΣΗ ΤΑ ΑΠΟΤΕΛΕΣΜΑΤΑ ΠΡΟΣΟΧΗ ΣΤΗ ΘΕΡΜΟΚΡΑΣΙΑ, ΣΤΟΥΣ ΑΓΩΓΟΥΣ, ΣΤΗ ΔΙΕΛΕΥΣΗ</v>
      </c>
      <c r="L28" s="48" t="s">
        <v>137</v>
      </c>
      <c r="M28" s="49" t="s">
        <v>136</v>
      </c>
      <c r="N28" s="50" t="s">
        <v>138</v>
      </c>
      <c r="O28" s="51" t="s">
        <v>139</v>
      </c>
      <c r="P28" s="51" t="s">
        <v>140</v>
      </c>
      <c r="Q28" s="51" t="s">
        <v>141</v>
      </c>
      <c r="R28" s="52" t="s">
        <v>142</v>
      </c>
      <c r="S28" s="52" t="s">
        <v>143</v>
      </c>
      <c r="T28" s="52" t="s">
        <v>144</v>
      </c>
      <c r="U28" s="53" t="s">
        <v>169</v>
      </c>
    </row>
    <row r="29" spans="1:31" ht="15.75" thickBot="1">
      <c r="A29" s="5" t="s">
        <v>48</v>
      </c>
      <c r="B29" s="34">
        <v>5</v>
      </c>
      <c r="C29" s="13">
        <f>CHOOSE(B29,W30,X30,Y30,Z30,AA30,AB30,AC30,AD30,AE30)</f>
        <v>1000</v>
      </c>
      <c r="D29" s="5" t="s">
        <v>49</v>
      </c>
      <c r="E29" s="45">
        <v>18</v>
      </c>
      <c r="F29" s="37" t="s">
        <v>55</v>
      </c>
      <c r="G29" s="37" t="s">
        <v>56</v>
      </c>
      <c r="H29" s="37" t="s">
        <v>57</v>
      </c>
      <c r="I29" s="37"/>
      <c r="L29" s="54">
        <v>1.5</v>
      </c>
      <c r="M29" s="42">
        <v>13</v>
      </c>
      <c r="N29" s="42">
        <v>13.5</v>
      </c>
      <c r="O29" s="42">
        <v>14.5</v>
      </c>
      <c r="P29" s="42">
        <v>15.5</v>
      </c>
      <c r="Q29" s="42">
        <v>17</v>
      </c>
      <c r="R29" s="42">
        <v>19</v>
      </c>
      <c r="S29" s="42">
        <v>20</v>
      </c>
      <c r="T29" s="42">
        <v>22</v>
      </c>
      <c r="U29" s="42">
        <v>23</v>
      </c>
      <c r="W29" s="55" t="s">
        <v>147</v>
      </c>
      <c r="X29" s="55" t="s">
        <v>146</v>
      </c>
      <c r="Y29" s="55" t="s">
        <v>148</v>
      </c>
      <c r="Z29" s="55" t="s">
        <v>149</v>
      </c>
      <c r="AA29" s="55" t="s">
        <v>150</v>
      </c>
      <c r="AB29" s="55" t="s">
        <v>151</v>
      </c>
      <c r="AC29" s="55" t="s">
        <v>152</v>
      </c>
      <c r="AD29" s="55" t="s">
        <v>153</v>
      </c>
      <c r="AE29" s="55" t="s">
        <v>159</v>
      </c>
    </row>
    <row r="30" spans="1:31">
      <c r="A30" t="s">
        <v>154</v>
      </c>
      <c r="D30" t="s">
        <v>51</v>
      </c>
      <c r="E30" s="8">
        <v>230</v>
      </c>
      <c r="F30" s="37" t="s">
        <v>90</v>
      </c>
      <c r="G30" s="37" t="s">
        <v>92</v>
      </c>
      <c r="H30" s="37" t="s">
        <v>91</v>
      </c>
      <c r="I30" s="37"/>
      <c r="L30" s="54">
        <v>2.5</v>
      </c>
      <c r="M30" s="42">
        <v>17.5</v>
      </c>
      <c r="N30" s="42">
        <v>18</v>
      </c>
      <c r="O30" s="42">
        <v>19.5</v>
      </c>
      <c r="P30" s="42">
        <v>21</v>
      </c>
      <c r="Q30" s="42">
        <v>23</v>
      </c>
      <c r="R30" s="42">
        <v>26</v>
      </c>
      <c r="S30" s="42">
        <v>28</v>
      </c>
      <c r="T30" s="42">
        <v>30</v>
      </c>
      <c r="U30" s="42">
        <v>31</v>
      </c>
      <c r="W30" s="55">
        <f>SUM(10^-12)</f>
        <v>9.9999999999999998E-13</v>
      </c>
      <c r="X30" s="55">
        <f>+SUM(10^-9)</f>
        <v>1.0000000000000001E-9</v>
      </c>
      <c r="Y30" s="55">
        <f>SUM(10^-6)</f>
        <v>9.9999999999999995E-7</v>
      </c>
      <c r="Z30" s="55">
        <f>SUM(10^-3)</f>
        <v>1E-3</v>
      </c>
      <c r="AA30" s="55">
        <f>SUM(10^3)</f>
        <v>1000</v>
      </c>
      <c r="AB30" s="55">
        <f>SUM(10^6)</f>
        <v>1000000</v>
      </c>
      <c r="AC30" s="55">
        <f>SUM(10^9)</f>
        <v>1000000000</v>
      </c>
      <c r="AD30" s="55">
        <f>SUM(10^12)</f>
        <v>1000000000000</v>
      </c>
      <c r="AE30" s="55">
        <v>1</v>
      </c>
    </row>
    <row r="31" spans="1:31">
      <c r="A31" s="9" t="s">
        <v>155</v>
      </c>
      <c r="B31" s="9"/>
      <c r="C31" s="9"/>
      <c r="D31" s="9" t="s">
        <v>3</v>
      </c>
      <c r="E31" s="9"/>
      <c r="F31" s="9"/>
      <c r="G31" s="9"/>
      <c r="H31" s="9"/>
      <c r="L31" s="54">
        <v>4</v>
      </c>
      <c r="M31" s="42">
        <v>23</v>
      </c>
      <c r="N31" s="42">
        <v>24</v>
      </c>
      <c r="O31" s="42">
        <v>26</v>
      </c>
      <c r="P31" s="42">
        <v>28</v>
      </c>
      <c r="Q31" s="42">
        <v>31</v>
      </c>
      <c r="R31" s="42">
        <v>35</v>
      </c>
      <c r="S31" s="42">
        <v>37</v>
      </c>
      <c r="T31" s="42">
        <v>40</v>
      </c>
      <c r="U31" s="42">
        <v>42</v>
      </c>
    </row>
    <row r="32" spans="1:31">
      <c r="A32" t="s">
        <v>53</v>
      </c>
      <c r="D32" t="s">
        <v>50</v>
      </c>
      <c r="E32" s="39">
        <v>0.8</v>
      </c>
      <c r="G32" s="38" t="s">
        <v>58</v>
      </c>
      <c r="H32" s="38" t="s">
        <v>59</v>
      </c>
      <c r="L32" s="54">
        <v>6</v>
      </c>
      <c r="M32" s="42">
        <v>29</v>
      </c>
      <c r="N32" s="42">
        <v>31</v>
      </c>
      <c r="O32" s="42">
        <v>34</v>
      </c>
      <c r="P32" s="42">
        <v>36</v>
      </c>
      <c r="Q32" s="42">
        <v>40</v>
      </c>
      <c r="R32" s="42">
        <v>44</v>
      </c>
      <c r="S32" s="42">
        <v>48</v>
      </c>
      <c r="T32" s="42">
        <v>51</v>
      </c>
      <c r="U32" s="42">
        <v>54</v>
      </c>
    </row>
    <row r="33" spans="1:21">
      <c r="A33" t="s">
        <v>156</v>
      </c>
      <c r="D33" t="s">
        <v>52</v>
      </c>
      <c r="E33" s="8">
        <v>400</v>
      </c>
      <c r="G33" s="38">
        <f>ROUND(SUM((E29*C29)/(E30)),0)</f>
        <v>78</v>
      </c>
      <c r="H33" s="38">
        <f>ROUND(SUM((E29*C29)/(E30*3*E32*E34)),0)</f>
        <v>33</v>
      </c>
      <c r="L33" s="54">
        <v>10</v>
      </c>
      <c r="M33" s="42">
        <v>39</v>
      </c>
      <c r="N33" s="42">
        <v>42</v>
      </c>
      <c r="O33" s="42">
        <v>46</v>
      </c>
      <c r="P33" s="42">
        <v>50</v>
      </c>
      <c r="Q33" s="42">
        <v>54</v>
      </c>
      <c r="R33" s="42">
        <v>60</v>
      </c>
      <c r="S33" s="42">
        <v>66</v>
      </c>
      <c r="T33" s="42">
        <v>69</v>
      </c>
      <c r="U33" s="42">
        <v>75</v>
      </c>
    </row>
    <row r="34" spans="1:21">
      <c r="A34" t="s">
        <v>168</v>
      </c>
      <c r="D34" t="s">
        <v>54</v>
      </c>
      <c r="E34" s="39">
        <v>1</v>
      </c>
      <c r="L34" s="54">
        <v>16</v>
      </c>
      <c r="M34" s="42">
        <v>52</v>
      </c>
      <c r="N34" s="42">
        <v>56</v>
      </c>
      <c r="O34" s="42">
        <v>61</v>
      </c>
      <c r="P34" s="42">
        <v>68</v>
      </c>
      <c r="Q34" s="42">
        <v>73</v>
      </c>
      <c r="R34" s="42">
        <v>80</v>
      </c>
      <c r="S34" s="42">
        <v>88</v>
      </c>
      <c r="T34" s="42">
        <v>91</v>
      </c>
      <c r="U34" s="42">
        <v>100</v>
      </c>
    </row>
    <row r="35" spans="1:21">
      <c r="L35" s="54">
        <v>25</v>
      </c>
      <c r="M35" s="42">
        <v>68</v>
      </c>
      <c r="N35" s="42">
        <v>73</v>
      </c>
      <c r="O35" s="42">
        <v>80</v>
      </c>
      <c r="P35" s="42">
        <v>89</v>
      </c>
      <c r="Q35" s="42">
        <v>95</v>
      </c>
      <c r="R35" s="42">
        <v>105</v>
      </c>
      <c r="S35" s="42">
        <v>117</v>
      </c>
      <c r="T35" s="42">
        <v>119</v>
      </c>
      <c r="U35" s="42">
        <v>133</v>
      </c>
    </row>
    <row r="36" spans="1:21" ht="15.75" thickBot="1">
      <c r="L36" s="54">
        <v>35</v>
      </c>
      <c r="M36" s="42">
        <v>83</v>
      </c>
      <c r="N36" s="42">
        <v>89</v>
      </c>
      <c r="O36" s="42">
        <v>99</v>
      </c>
      <c r="P36" s="42">
        <v>109</v>
      </c>
      <c r="Q36" s="42">
        <v>117</v>
      </c>
      <c r="R36" s="42">
        <v>128</v>
      </c>
      <c r="S36" s="42">
        <v>144</v>
      </c>
      <c r="T36" s="42">
        <v>146</v>
      </c>
      <c r="U36" s="42">
        <v>164</v>
      </c>
    </row>
    <row r="37" spans="1:21" ht="15.75" thickBot="1">
      <c r="D37" s="119" t="s">
        <v>93</v>
      </c>
      <c r="E37" s="120"/>
      <c r="L37" s="54">
        <v>50</v>
      </c>
      <c r="M37" s="42">
        <v>99</v>
      </c>
      <c r="N37" s="42">
        <v>108</v>
      </c>
      <c r="O37" s="42">
        <v>118</v>
      </c>
      <c r="P37" s="42">
        <v>130</v>
      </c>
      <c r="Q37" s="42">
        <v>141</v>
      </c>
      <c r="R37" s="42">
        <v>154</v>
      </c>
      <c r="S37" s="42">
        <v>175</v>
      </c>
      <c r="T37" s="42">
        <v>175</v>
      </c>
      <c r="U37" s="42">
        <v>198</v>
      </c>
    </row>
    <row r="38" spans="1:21">
      <c r="A38" s="89" t="s">
        <v>60</v>
      </c>
      <c r="B38" s="90"/>
      <c r="C38" s="90"/>
      <c r="D38" s="90" t="s">
        <v>61</v>
      </c>
      <c r="E38" s="91"/>
      <c r="F38" s="128" t="s">
        <v>61</v>
      </c>
      <c r="G38" s="128" t="s">
        <v>62</v>
      </c>
      <c r="L38" s="54">
        <v>70</v>
      </c>
      <c r="M38" s="42">
        <v>125</v>
      </c>
      <c r="N38" s="42">
        <v>136</v>
      </c>
      <c r="O38" s="42">
        <v>149</v>
      </c>
      <c r="P38" s="42">
        <v>164</v>
      </c>
      <c r="Q38" s="42">
        <v>179</v>
      </c>
      <c r="R38" s="42">
        <v>194</v>
      </c>
      <c r="S38" s="42">
        <v>222</v>
      </c>
      <c r="T38" s="42">
        <v>221</v>
      </c>
      <c r="U38" s="42">
        <v>253</v>
      </c>
    </row>
    <row r="39" spans="1:21">
      <c r="A39" s="121" t="s">
        <v>63</v>
      </c>
      <c r="B39" s="122"/>
      <c r="C39" s="122"/>
      <c r="D39" s="122" t="s">
        <v>62</v>
      </c>
      <c r="E39" s="127"/>
      <c r="F39" s="128" t="e">
        <f>SUM(1/(2*3.14*E40*E39))</f>
        <v>#DIV/0!</v>
      </c>
      <c r="G39" s="128" t="e">
        <f>SUM(1/(E38*2*3.14*E40))</f>
        <v>#DIV/0!</v>
      </c>
      <c r="L39" s="54">
        <v>95</v>
      </c>
      <c r="M39" s="42">
        <v>150</v>
      </c>
      <c r="N39" s="42">
        <v>164</v>
      </c>
      <c r="O39" s="42">
        <v>179</v>
      </c>
      <c r="P39" s="42">
        <v>197</v>
      </c>
      <c r="Q39" s="42">
        <v>216</v>
      </c>
      <c r="R39" s="42">
        <v>233</v>
      </c>
      <c r="S39" s="42">
        <v>269</v>
      </c>
      <c r="T39" s="42">
        <v>265</v>
      </c>
      <c r="U39" s="42">
        <v>306</v>
      </c>
    </row>
    <row r="40" spans="1:21" ht="15.75" thickBot="1">
      <c r="A40" s="123" t="s">
        <v>64</v>
      </c>
      <c r="B40" s="124"/>
      <c r="C40" s="124"/>
      <c r="D40" s="124" t="s">
        <v>65</v>
      </c>
      <c r="E40" s="125">
        <v>50</v>
      </c>
      <c r="F40" s="124"/>
      <c r="G40" s="126"/>
      <c r="L40" s="54">
        <v>120</v>
      </c>
      <c r="M40" s="42">
        <v>172</v>
      </c>
      <c r="N40" s="42">
        <v>188</v>
      </c>
      <c r="O40" s="42">
        <v>206</v>
      </c>
      <c r="P40" s="42">
        <v>227</v>
      </c>
      <c r="Q40" s="42">
        <v>249</v>
      </c>
      <c r="R40" s="42">
        <v>268</v>
      </c>
      <c r="S40" s="42">
        <v>312</v>
      </c>
      <c r="T40" s="42">
        <v>305</v>
      </c>
      <c r="U40" s="42">
        <v>354</v>
      </c>
    </row>
    <row r="41" spans="1:21" ht="15.75" thickBot="1">
      <c r="L41" s="54">
        <v>150</v>
      </c>
      <c r="M41" s="42">
        <v>196</v>
      </c>
      <c r="N41" s="42">
        <v>216</v>
      </c>
      <c r="O41" s="42">
        <v>240</v>
      </c>
      <c r="P41" s="42">
        <v>259</v>
      </c>
      <c r="Q41" s="42">
        <v>285</v>
      </c>
      <c r="R41" s="42">
        <v>318</v>
      </c>
      <c r="S41" s="42"/>
      <c r="T41" s="42">
        <v>371</v>
      </c>
      <c r="U41" s="42">
        <v>441</v>
      </c>
    </row>
    <row r="42" spans="1:21" ht="15.75" thickBot="1">
      <c r="D42" s="92" t="s">
        <v>94</v>
      </c>
      <c r="E42" s="93"/>
      <c r="F42" s="94"/>
      <c r="L42" s="54">
        <v>185</v>
      </c>
      <c r="M42" s="42">
        <v>223</v>
      </c>
      <c r="N42" s="42">
        <v>245</v>
      </c>
      <c r="O42" s="42">
        <v>273</v>
      </c>
      <c r="P42" s="42">
        <v>295</v>
      </c>
      <c r="Q42" s="42">
        <v>324</v>
      </c>
      <c r="R42" s="42">
        <v>362</v>
      </c>
      <c r="S42" s="42"/>
      <c r="T42" s="42">
        <v>424</v>
      </c>
      <c r="U42" s="42">
        <v>506</v>
      </c>
    </row>
    <row r="43" spans="1:21">
      <c r="A43" s="92"/>
      <c r="B43" s="93"/>
      <c r="C43" s="93"/>
      <c r="D43" s="93"/>
      <c r="E43" s="93"/>
      <c r="F43" s="93"/>
      <c r="G43" s="94"/>
      <c r="L43" s="54">
        <v>240</v>
      </c>
      <c r="M43" s="42">
        <v>261</v>
      </c>
      <c r="N43" s="42">
        <v>286</v>
      </c>
      <c r="O43" s="42">
        <v>321</v>
      </c>
      <c r="P43" s="42">
        <v>346</v>
      </c>
      <c r="Q43" s="42">
        <v>380</v>
      </c>
      <c r="R43" s="42">
        <v>424</v>
      </c>
      <c r="S43" s="42"/>
      <c r="T43" s="42">
        <v>500</v>
      </c>
      <c r="U43" s="42">
        <v>599</v>
      </c>
    </row>
    <row r="44" spans="1:21">
      <c r="A44" s="129" t="s">
        <v>66</v>
      </c>
      <c r="B44" s="130"/>
      <c r="C44" s="130"/>
      <c r="D44" s="130" t="s">
        <v>67</v>
      </c>
      <c r="E44" s="131"/>
      <c r="F44" s="137" t="s">
        <v>67</v>
      </c>
      <c r="G44" s="137" t="s">
        <v>68</v>
      </c>
      <c r="L44" s="54">
        <v>300</v>
      </c>
      <c r="M44" s="42">
        <v>298</v>
      </c>
      <c r="N44" s="42">
        <v>328</v>
      </c>
      <c r="O44" s="42">
        <v>367</v>
      </c>
      <c r="P44" s="42">
        <v>396</v>
      </c>
      <c r="Q44" s="42">
        <v>435</v>
      </c>
      <c r="R44" s="42">
        <v>486</v>
      </c>
      <c r="S44" s="42"/>
      <c r="T44" s="42">
        <v>576</v>
      </c>
      <c r="U44" s="42">
        <v>693</v>
      </c>
    </row>
    <row r="45" spans="1:21">
      <c r="A45" s="129" t="s">
        <v>69</v>
      </c>
      <c r="B45" s="130"/>
      <c r="C45" s="130"/>
      <c r="D45" s="130" t="s">
        <v>68</v>
      </c>
      <c r="E45" s="136"/>
      <c r="F45" s="137">
        <f>SUM(E46*2*3.14*E45)</f>
        <v>0</v>
      </c>
      <c r="G45" s="137">
        <f>SUM(E44/(2*3.14*E46))</f>
        <v>0</v>
      </c>
      <c r="L45" s="203" t="s">
        <v>132</v>
      </c>
      <c r="M45" s="204"/>
      <c r="N45" s="204"/>
      <c r="O45" s="204"/>
      <c r="P45" s="204"/>
      <c r="Q45" s="204"/>
      <c r="R45" s="204"/>
      <c r="S45" s="204"/>
      <c r="T45" s="204"/>
      <c r="U45" s="205"/>
    </row>
    <row r="46" spans="1:21" ht="15.75" thickBot="1">
      <c r="A46" s="132" t="s">
        <v>70</v>
      </c>
      <c r="B46" s="133"/>
      <c r="C46" s="133"/>
      <c r="D46" s="133" t="s">
        <v>65</v>
      </c>
      <c r="E46" s="134">
        <v>50</v>
      </c>
      <c r="F46" s="133"/>
      <c r="G46" s="135"/>
      <c r="L46" s="203" t="s">
        <v>133</v>
      </c>
      <c r="M46" s="204"/>
      <c r="N46" s="204"/>
      <c r="O46" s="204"/>
      <c r="P46" s="204"/>
      <c r="Q46" s="204"/>
      <c r="R46" s="204"/>
      <c r="S46" s="204"/>
      <c r="T46" s="204"/>
      <c r="U46" s="205"/>
    </row>
    <row r="47" spans="1:21" ht="15.75" thickBot="1">
      <c r="L47" s="203" t="s">
        <v>134</v>
      </c>
      <c r="M47" s="204"/>
      <c r="N47" s="204"/>
      <c r="O47" s="204"/>
      <c r="P47" s="204"/>
      <c r="Q47" s="204"/>
      <c r="R47" s="204"/>
      <c r="S47" s="204"/>
      <c r="T47" s="204"/>
      <c r="U47" s="205"/>
    </row>
    <row r="48" spans="1:21" ht="15.75" thickBot="1">
      <c r="A48" s="8"/>
      <c r="B48" s="8"/>
      <c r="C48" s="8"/>
      <c r="D48" s="150" t="s">
        <v>95</v>
      </c>
      <c r="E48" s="151"/>
      <c r="F48" s="152"/>
      <c r="G48" s="8"/>
      <c r="H48" s="8"/>
      <c r="I48" s="8"/>
      <c r="J48" s="8"/>
      <c r="K48" s="8"/>
      <c r="L48" s="206" t="s">
        <v>135</v>
      </c>
      <c r="M48" s="207"/>
      <c r="N48" s="207"/>
      <c r="O48" s="207"/>
      <c r="P48" s="207"/>
      <c r="Q48" s="207"/>
      <c r="R48" s="207"/>
      <c r="S48" s="207"/>
      <c r="T48" s="207"/>
      <c r="U48" s="208"/>
    </row>
    <row r="49" spans="1:8">
      <c r="A49" s="138"/>
      <c r="B49" s="139"/>
      <c r="C49" s="139"/>
      <c r="D49" s="139"/>
      <c r="E49" s="139"/>
      <c r="F49" s="139"/>
      <c r="G49" s="140"/>
    </row>
    <row r="50" spans="1:8">
      <c r="A50" s="141" t="s">
        <v>72</v>
      </c>
      <c r="B50" s="142"/>
      <c r="C50" s="142"/>
      <c r="D50" s="142" t="s">
        <v>71</v>
      </c>
      <c r="E50" s="143"/>
      <c r="F50" s="154" t="s">
        <v>76</v>
      </c>
      <c r="G50" s="144"/>
    </row>
    <row r="51" spans="1:8">
      <c r="A51" s="141" t="s">
        <v>73</v>
      </c>
      <c r="B51" s="142"/>
      <c r="C51" s="142"/>
      <c r="D51" s="142" t="s">
        <v>2</v>
      </c>
      <c r="E51" s="153"/>
      <c r="F51" s="154">
        <f>SUM(SQRT((E51^2)+((E52-E53)^2)))</f>
        <v>0</v>
      </c>
      <c r="G51" s="144"/>
    </row>
    <row r="52" spans="1:8">
      <c r="A52" s="141" t="s">
        <v>74</v>
      </c>
      <c r="B52" s="142"/>
      <c r="C52" s="142"/>
      <c r="D52" s="142" t="s">
        <v>67</v>
      </c>
      <c r="E52" s="145"/>
      <c r="F52" s="142"/>
      <c r="G52" s="144"/>
    </row>
    <row r="53" spans="1:8" ht="15.75" thickBot="1">
      <c r="A53" s="146" t="s">
        <v>75</v>
      </c>
      <c r="B53" s="147"/>
      <c r="C53" s="147"/>
      <c r="D53" s="147" t="s">
        <v>61</v>
      </c>
      <c r="E53" s="148"/>
      <c r="F53" s="147"/>
      <c r="G53" s="149"/>
    </row>
    <row r="54" spans="1:8" ht="15.75" thickBot="1"/>
    <row r="55" spans="1:8" ht="15.75" thickBot="1">
      <c r="D55" s="82" t="s">
        <v>96</v>
      </c>
      <c r="E55" s="83"/>
    </row>
    <row r="56" spans="1:8">
      <c r="A56" s="155"/>
      <c r="B56" s="156"/>
      <c r="C56" s="156"/>
      <c r="D56" s="156"/>
      <c r="E56" s="156"/>
      <c r="F56" s="156"/>
      <c r="G56" s="157"/>
    </row>
    <row r="57" spans="1:8">
      <c r="A57" s="158" t="s">
        <v>53</v>
      </c>
      <c r="B57" s="159"/>
      <c r="C57" s="159"/>
      <c r="D57" s="159" t="s">
        <v>50</v>
      </c>
      <c r="E57" s="160"/>
      <c r="F57" s="167" t="s">
        <v>50</v>
      </c>
      <c r="G57" s="161"/>
    </row>
    <row r="58" spans="1:8">
      <c r="A58" s="158" t="s">
        <v>73</v>
      </c>
      <c r="B58" s="159"/>
      <c r="C58" s="159"/>
      <c r="D58" s="159" t="s">
        <v>2</v>
      </c>
      <c r="E58" s="166"/>
      <c r="F58" s="167" t="e">
        <f>SUM(E58/E59)</f>
        <v>#DIV/0!</v>
      </c>
      <c r="G58" s="161"/>
    </row>
    <row r="59" spans="1:8" ht="15.75" thickBot="1">
      <c r="A59" s="162" t="s">
        <v>72</v>
      </c>
      <c r="B59" s="163"/>
      <c r="C59" s="163"/>
      <c r="D59" s="163" t="s">
        <v>71</v>
      </c>
      <c r="E59" s="164"/>
      <c r="F59" s="163"/>
      <c r="G59" s="165"/>
      <c r="H59" t="s">
        <v>67</v>
      </c>
    </row>
    <row r="60" spans="1:8" ht="15.75" thickBot="1"/>
    <row r="61" spans="1:8" ht="24" thickBot="1">
      <c r="B61" s="59"/>
      <c r="C61" s="81"/>
      <c r="D61" s="169" t="s">
        <v>77</v>
      </c>
      <c r="E61" s="168"/>
      <c r="F61" s="64"/>
    </row>
    <row r="62" spans="1:8" ht="15.75" thickBot="1"/>
    <row r="63" spans="1:8" ht="15.75" thickBot="1">
      <c r="A63" s="24" t="s">
        <v>79</v>
      </c>
      <c r="B63" s="24" t="s">
        <v>100</v>
      </c>
      <c r="C63" s="24"/>
      <c r="D63" s="24" t="s">
        <v>78</v>
      </c>
      <c r="E63" s="24">
        <f>SUM(E65*E68)</f>
        <v>13.5</v>
      </c>
      <c r="F63" s="25" t="str">
        <f>REPT(C28,1)</f>
        <v>k(KILO)</v>
      </c>
      <c r="G63" s="26" t="s">
        <v>157</v>
      </c>
      <c r="H63" t="s">
        <v>97</v>
      </c>
    </row>
    <row r="64" spans="1:8" ht="15.75" thickBot="1">
      <c r="A64" s="24" t="s">
        <v>81</v>
      </c>
      <c r="B64" s="24" t="s">
        <v>99</v>
      </c>
      <c r="C64" s="24"/>
      <c r="D64" s="24" t="s">
        <v>80</v>
      </c>
      <c r="E64" s="24">
        <f>ROUND(SUM(E65/E66),2)</f>
        <v>22.5</v>
      </c>
      <c r="F64" s="27" t="str">
        <f>REPT(C28,1)</f>
        <v>k(KILO)</v>
      </c>
      <c r="G64" s="28" t="s">
        <v>157</v>
      </c>
    </row>
    <row r="65" spans="1:11">
      <c r="A65" s="5" t="s">
        <v>83</v>
      </c>
      <c r="B65" s="5"/>
      <c r="C65" s="5"/>
      <c r="D65" s="5" t="s">
        <v>82</v>
      </c>
      <c r="E65" s="15" t="str">
        <f>REPT(E29,1)</f>
        <v>18</v>
      </c>
      <c r="F65" s="29" t="str">
        <f>REPT(C28,1)</f>
        <v>k(KILO)</v>
      </c>
      <c r="G65" s="30" t="s">
        <v>157</v>
      </c>
    </row>
    <row r="66" spans="1:11" ht="15.75" thickBot="1">
      <c r="A66" s="4" t="s">
        <v>166</v>
      </c>
      <c r="B66" s="4"/>
      <c r="C66" s="4"/>
      <c r="D66" s="4" t="s">
        <v>50</v>
      </c>
      <c r="E66" s="47">
        <v>0.8</v>
      </c>
      <c r="F66" s="46" t="str">
        <f>REPT(C29,1)</f>
        <v>1000</v>
      </c>
      <c r="G66" s="14" t="s">
        <v>157</v>
      </c>
      <c r="I66" t="s">
        <v>50</v>
      </c>
    </row>
    <row r="67" spans="1:11">
      <c r="D67" t="s">
        <v>84</v>
      </c>
      <c r="E67" s="36">
        <f>SUM(ROUND(SQRT(1-(E66^2)),2))</f>
        <v>0.6</v>
      </c>
      <c r="K67" t="s">
        <v>2</v>
      </c>
    </row>
    <row r="68" spans="1:11">
      <c r="D68" t="s">
        <v>98</v>
      </c>
      <c r="E68">
        <f>ROUND(SUM(E67/E66),2)</f>
        <v>0.75</v>
      </c>
    </row>
    <row r="69" spans="1:11">
      <c r="H69" t="s">
        <v>61</v>
      </c>
    </row>
    <row r="70" spans="1:11">
      <c r="A70" s="4" t="s">
        <v>167</v>
      </c>
      <c r="B70" s="4"/>
      <c r="C70" s="4"/>
      <c r="D70" s="4" t="s">
        <v>101</v>
      </c>
      <c r="E70" s="47">
        <v>0.6</v>
      </c>
    </row>
    <row r="71" spans="1:11">
      <c r="D71" t="s">
        <v>102</v>
      </c>
      <c r="E71">
        <f>SUM(ROUND(SQRT(1-(E70^2)),2))</f>
        <v>0.8</v>
      </c>
    </row>
    <row r="72" spans="1:11">
      <c r="D72" t="s">
        <v>103</v>
      </c>
      <c r="E72">
        <f>ROUND(SUM(E71/E70),2)</f>
        <v>1.33</v>
      </c>
      <c r="F72" s="1" t="s">
        <v>107</v>
      </c>
    </row>
    <row r="73" spans="1:11">
      <c r="A73" s="4" t="s">
        <v>104</v>
      </c>
      <c r="B73" s="4"/>
      <c r="C73" s="4"/>
      <c r="D73" s="4" t="s">
        <v>105</v>
      </c>
      <c r="E73" s="4" t="s">
        <v>106</v>
      </c>
      <c r="F73" s="4">
        <f>ROUND(SUM((E65*E72)-(E65*E68)),2)</f>
        <v>10.44</v>
      </c>
      <c r="G73" s="10" t="str">
        <f>REPT(C28,1)</f>
        <v>k(KILO)</v>
      </c>
      <c r="H73" s="4" t="s">
        <v>158</v>
      </c>
    </row>
    <row r="74" spans="1:11">
      <c r="F74" s="1" t="s">
        <v>108</v>
      </c>
    </row>
    <row r="75" spans="1:11">
      <c r="E75" t="s">
        <v>109</v>
      </c>
      <c r="F75">
        <f>ROUND(SUM((E65*E72)-(E65*E68)),2)</f>
        <v>10.44</v>
      </c>
      <c r="G75" s="10" t="str">
        <f>REPT(C28,1)</f>
        <v>k(KILO)</v>
      </c>
      <c r="H75" s="4" t="s">
        <v>158</v>
      </c>
    </row>
    <row r="76" spans="1:11">
      <c r="E76" t="s">
        <v>112</v>
      </c>
      <c r="F76">
        <f>ROUND(SUM(F75/3),2)</f>
        <v>3.48</v>
      </c>
      <c r="G76" s="10" t="str">
        <f>REPT(C28,1)</f>
        <v>k(KILO)</v>
      </c>
      <c r="H76" s="4" t="s">
        <v>158</v>
      </c>
    </row>
    <row r="77" spans="1:11">
      <c r="E77" s="2" t="s">
        <v>110</v>
      </c>
    </row>
    <row r="78" spans="1:11">
      <c r="E78" t="s">
        <v>111</v>
      </c>
      <c r="F78">
        <f>ROUND(SUM(F76*F66/F79),2)</f>
        <v>9.16</v>
      </c>
      <c r="G78" t="s">
        <v>113</v>
      </c>
    </row>
    <row r="79" spans="1:11">
      <c r="E79" t="s">
        <v>114</v>
      </c>
      <c r="F79">
        <v>380</v>
      </c>
      <c r="G79" t="s">
        <v>123</v>
      </c>
      <c r="I79" t="str">
        <f>REPT(G81,1)</f>
        <v>77</v>
      </c>
      <c r="J79" t="str">
        <f>REPT(G81,1)</f>
        <v>77</v>
      </c>
    </row>
    <row r="80" spans="1:11">
      <c r="E80" t="s">
        <v>115</v>
      </c>
      <c r="F80" t="s">
        <v>117</v>
      </c>
      <c r="G80" s="1" t="s">
        <v>118</v>
      </c>
    </row>
    <row r="81" spans="5:10">
      <c r="E81" t="s">
        <v>116</v>
      </c>
      <c r="F81" s="2">
        <f>SUM(F78/(F79*2*3.14*F82))</f>
        <v>7.6768354006034198E-5</v>
      </c>
      <c r="G81" s="2">
        <f>ROUND(SUM(F81*10^6),0)</f>
        <v>77</v>
      </c>
      <c r="I81" s="1" t="str">
        <f>REPT(G81,1)</f>
        <v>77</v>
      </c>
    </row>
    <row r="82" spans="5:10">
      <c r="E82" t="s">
        <v>65</v>
      </c>
      <c r="F82">
        <v>50</v>
      </c>
    </row>
    <row r="83" spans="5:10">
      <c r="E83" s="3" t="s">
        <v>119</v>
      </c>
      <c r="I83" t="str">
        <f>REPT(G87,1)</f>
        <v>210</v>
      </c>
    </row>
    <row r="84" spans="5:10">
      <c r="E84" t="s">
        <v>120</v>
      </c>
      <c r="F84">
        <f>SUM(F76*F66/F85)</f>
        <v>15.130434782608695</v>
      </c>
      <c r="G84" t="s">
        <v>122</v>
      </c>
    </row>
    <row r="85" spans="5:10">
      <c r="E85" t="s">
        <v>121</v>
      </c>
      <c r="F85">
        <v>230</v>
      </c>
      <c r="G85" t="s">
        <v>123</v>
      </c>
      <c r="J85" t="str">
        <f>REPT(G87,1)</f>
        <v>210</v>
      </c>
    </row>
    <row r="86" spans="5:10">
      <c r="E86" t="s">
        <v>115</v>
      </c>
      <c r="F86" t="s">
        <v>117</v>
      </c>
      <c r="G86" s="1" t="s">
        <v>118</v>
      </c>
    </row>
    <row r="87" spans="5:10">
      <c r="E87" t="s">
        <v>124</v>
      </c>
      <c r="F87" s="3">
        <f>SUM(F84/(F85*2*3.14*F88))</f>
        <v>2.0950477405993763E-4</v>
      </c>
      <c r="G87" s="3">
        <f>ROUND(SUM(F87*10^6),0)</f>
        <v>210</v>
      </c>
      <c r="I87" t="str">
        <f>REPT(G87,1)</f>
        <v>210</v>
      </c>
    </row>
    <row r="88" spans="5:10">
      <c r="E88" t="s">
        <v>65</v>
      </c>
      <c r="F88">
        <v>50</v>
      </c>
    </row>
  </sheetData>
  <dataConsolidate/>
  <mergeCells count="4">
    <mergeCell ref="L45:U45"/>
    <mergeCell ref="L46:U46"/>
    <mergeCell ref="L47:U47"/>
    <mergeCell ref="L48:U48"/>
  </mergeCells>
  <dataValidations count="3">
    <dataValidation type="list" allowBlank="1" showInputMessage="1" showErrorMessage="1" prompt="2 Χαλκός_x000a_7 Αλουμίνιο_x000a_" sqref="B8">
      <formula1>$M$2:$M$12</formula1>
    </dataValidation>
    <dataValidation type="list" allowBlank="1" showInputMessage="1" showErrorMessage="1" prompt="1 Μονοφασικό_x000a_2 Τριφασικό" sqref="B20">
      <formula1>$M$2:$M$3</formula1>
    </dataValidation>
    <dataValidation type="list" allowBlank="1" showInputMessage="1" showErrorMessage="1" prompt="5 Κίλο_x000a_9 Μονάδα" sqref="B29">
      <formula1>$M$2:$M$10</formula1>
    </dataValidation>
  </dataValidations>
  <hyperlinks>
    <hyperlink ref="D22" location="ρ" display="ρ"/>
    <hyperlink ref="D8" location="ρ" display="ρ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L1:AX77"/>
  <sheetViews>
    <sheetView zoomScale="80" zoomScaleNormal="80" workbookViewId="0">
      <selection activeCell="M2" sqref="M2"/>
    </sheetView>
  </sheetViews>
  <sheetFormatPr defaultRowHeight="15"/>
  <cols>
    <col min="1" max="1" width="9.85546875" customWidth="1"/>
    <col min="12" max="12" width="30.7109375" customWidth="1"/>
    <col min="13" max="13" width="45.7109375" customWidth="1"/>
    <col min="20" max="20" width="9.140625" customWidth="1"/>
    <col min="21" max="50" width="9.140625" hidden="1" customWidth="1"/>
  </cols>
  <sheetData>
    <row r="1" spans="12:40" ht="15.75" thickBot="1">
      <c r="U1" s="56" t="s">
        <v>145</v>
      </c>
      <c r="V1" s="57"/>
    </row>
    <row r="2" spans="12:40" ht="219">
      <c r="L2" s="177" t="s">
        <v>179</v>
      </c>
      <c r="M2" s="202" t="s">
        <v>183</v>
      </c>
      <c r="U2" s="48" t="s">
        <v>137</v>
      </c>
      <c r="V2" s="49" t="s">
        <v>136</v>
      </c>
      <c r="W2" s="50" t="s">
        <v>170</v>
      </c>
      <c r="X2" s="51" t="s">
        <v>171</v>
      </c>
      <c r="Y2" s="51" t="s">
        <v>172</v>
      </c>
      <c r="Z2" s="51" t="s">
        <v>173</v>
      </c>
      <c r="AA2" s="52" t="s">
        <v>174</v>
      </c>
      <c r="AB2" s="52" t="s">
        <v>175</v>
      </c>
      <c r="AC2" s="52" t="s">
        <v>176</v>
      </c>
      <c r="AD2" s="53" t="s">
        <v>169</v>
      </c>
    </row>
    <row r="3" spans="12:40" ht="30">
      <c r="L3" s="188" t="s">
        <v>185</v>
      </c>
      <c r="M3" s="197">
        <f>HLOOKUP(M2,V2:AD18,AN4,0)</f>
        <v>227</v>
      </c>
      <c r="U3" s="54">
        <v>1.5</v>
      </c>
      <c r="V3" s="42">
        <v>13</v>
      </c>
      <c r="W3" s="42">
        <v>13.5</v>
      </c>
      <c r="X3" s="42">
        <v>14.5</v>
      </c>
      <c r="Y3" s="42">
        <v>15.5</v>
      </c>
      <c r="Z3" s="42">
        <v>17</v>
      </c>
      <c r="AA3" s="42">
        <v>19</v>
      </c>
      <c r="AB3" s="42">
        <v>20</v>
      </c>
      <c r="AC3" s="42">
        <v>22</v>
      </c>
      <c r="AD3" s="42">
        <v>23</v>
      </c>
    </row>
    <row r="4" spans="12:40">
      <c r="L4" s="41" t="s">
        <v>177</v>
      </c>
      <c r="M4" s="184">
        <f>SUM(AH4:AH19)</f>
        <v>120</v>
      </c>
      <c r="U4" s="54">
        <v>2.5</v>
      </c>
      <c r="V4" s="42">
        <v>17.5</v>
      </c>
      <c r="W4" s="42">
        <v>18</v>
      </c>
      <c r="X4" s="42">
        <v>19.5</v>
      </c>
      <c r="Y4" s="42">
        <v>21</v>
      </c>
      <c r="Z4" s="42">
        <v>23</v>
      </c>
      <c r="AA4" s="42">
        <v>26</v>
      </c>
      <c r="AB4" s="42">
        <v>28</v>
      </c>
      <c r="AC4" s="42">
        <v>30</v>
      </c>
      <c r="AD4" s="42">
        <v>31</v>
      </c>
      <c r="AH4">
        <f>IF(AND(AM4+0&gt;0,AM4+0&lt;=1.5),1.5,0)</f>
        <v>0</v>
      </c>
      <c r="AM4" s="187" t="str">
        <f>REPT(Φύλλο1!K23,1)</f>
        <v>109</v>
      </c>
      <c r="AN4">
        <f>MATCH(0+M4,U2:U18,1)</f>
        <v>13</v>
      </c>
    </row>
    <row r="5" spans="12:40">
      <c r="L5" s="41" t="s">
        <v>184</v>
      </c>
      <c r="M5" s="184" t="str">
        <f>CHOOSE(N8,REPT(AH30,1),REPT(AH61,1))</f>
        <v>16</v>
      </c>
      <c r="U5" s="54">
        <v>4</v>
      </c>
      <c r="V5" s="42">
        <v>23</v>
      </c>
      <c r="W5" s="42">
        <v>24</v>
      </c>
      <c r="X5" s="42">
        <v>26</v>
      </c>
      <c r="Y5" s="42">
        <v>28</v>
      </c>
      <c r="Z5" s="42">
        <v>31</v>
      </c>
      <c r="AA5" s="42">
        <v>35</v>
      </c>
      <c r="AB5" s="42">
        <v>37</v>
      </c>
      <c r="AC5" s="42">
        <v>40</v>
      </c>
      <c r="AD5" s="42">
        <v>42</v>
      </c>
      <c r="AH5">
        <f>IF(AND(AM4+0&gt;1.5,AM4+0&lt;=2.5),2.5,0)</f>
        <v>0</v>
      </c>
    </row>
    <row r="6" spans="12:40">
      <c r="L6" s="54" t="s">
        <v>178</v>
      </c>
      <c r="M6" s="189" t="str">
        <f>REPT(Φύλλο1!N25,1)</f>
        <v>98</v>
      </c>
      <c r="U6" s="54">
        <v>6</v>
      </c>
      <c r="V6" s="42">
        <v>29</v>
      </c>
      <c r="W6" s="42">
        <v>31</v>
      </c>
      <c r="X6" s="42">
        <v>34</v>
      </c>
      <c r="Y6" s="42">
        <v>36</v>
      </c>
      <c r="Z6" s="42">
        <v>40</v>
      </c>
      <c r="AA6" s="42">
        <v>44</v>
      </c>
      <c r="AB6" s="42">
        <v>48</v>
      </c>
      <c r="AC6" s="42">
        <v>51</v>
      </c>
      <c r="AD6" s="42">
        <v>54</v>
      </c>
      <c r="AH6">
        <f>IF(AND(AM4+0&gt;2.5,AM4+0&lt;=4),4,0)</f>
        <v>0</v>
      </c>
    </row>
    <row r="7" spans="12:40">
      <c r="L7" s="193" t="s">
        <v>125</v>
      </c>
      <c r="M7" s="201">
        <v>30</v>
      </c>
      <c r="N7" s="195"/>
      <c r="U7" s="54">
        <v>10</v>
      </c>
      <c r="V7" s="42">
        <v>39</v>
      </c>
      <c r="W7" s="42">
        <v>42</v>
      </c>
      <c r="X7" s="42">
        <v>46</v>
      </c>
      <c r="Y7" s="42">
        <v>50</v>
      </c>
      <c r="Z7" s="42">
        <v>54</v>
      </c>
      <c r="AA7" s="42">
        <v>60</v>
      </c>
      <c r="AB7" s="42">
        <v>66</v>
      </c>
      <c r="AC7" s="42">
        <v>69</v>
      </c>
      <c r="AD7" s="42">
        <v>75</v>
      </c>
      <c r="AH7">
        <f>IF(AND(AM4+0&gt;4,AM4+0&lt;=6),6,0)</f>
        <v>0</v>
      </c>
    </row>
    <row r="8" spans="12:40" ht="30">
      <c r="L8" s="179" t="s">
        <v>180</v>
      </c>
      <c r="M8" s="181" t="str">
        <f>CHOOSE(N8,V25,W25)</f>
        <v>πολυπολικες γραμμες</v>
      </c>
      <c r="N8" s="201">
        <v>1</v>
      </c>
      <c r="O8" s="198">
        <f>IF(M4+0&gt;M5+0,M4+0,M5+0)</f>
        <v>120</v>
      </c>
      <c r="U8" s="54">
        <v>16</v>
      </c>
      <c r="V8" s="42">
        <v>52</v>
      </c>
      <c r="W8" s="42">
        <v>56</v>
      </c>
      <c r="X8" s="42">
        <v>61</v>
      </c>
      <c r="Y8" s="42">
        <v>68</v>
      </c>
      <c r="Z8" s="42">
        <v>73</v>
      </c>
      <c r="AA8" s="42">
        <v>80</v>
      </c>
      <c r="AB8" s="42">
        <v>88</v>
      </c>
      <c r="AC8" s="42">
        <v>91</v>
      </c>
      <c r="AD8" s="42">
        <v>100</v>
      </c>
      <c r="AH8">
        <f>IF(AND(AM4+0&gt;6,AM4+0&lt;=10),10,0)</f>
        <v>0</v>
      </c>
    </row>
    <row r="9" spans="12:40">
      <c r="M9" s="186"/>
      <c r="U9" s="54">
        <v>25</v>
      </c>
      <c r="V9" s="42">
        <v>68</v>
      </c>
      <c r="W9" s="42">
        <v>73</v>
      </c>
      <c r="X9" s="42">
        <v>80</v>
      </c>
      <c r="Y9" s="42">
        <v>89</v>
      </c>
      <c r="Z9" s="42">
        <v>95</v>
      </c>
      <c r="AA9" s="42">
        <v>105</v>
      </c>
      <c r="AB9" s="42">
        <v>117</v>
      </c>
      <c r="AC9" s="42">
        <v>119</v>
      </c>
      <c r="AD9" s="42">
        <v>133</v>
      </c>
      <c r="AH9">
        <f>IF(AND(AM4+0&gt;10,AM4+0&lt;=16),16,0)</f>
        <v>0</v>
      </c>
    </row>
    <row r="10" spans="12:40">
      <c r="U10" s="54">
        <v>35</v>
      </c>
      <c r="V10" s="42">
        <v>83</v>
      </c>
      <c r="W10" s="42">
        <v>89</v>
      </c>
      <c r="X10" s="42">
        <v>99</v>
      </c>
      <c r="Y10" s="42">
        <v>109</v>
      </c>
      <c r="Z10" s="42">
        <v>117</v>
      </c>
      <c r="AA10" s="42">
        <v>128</v>
      </c>
      <c r="AB10" s="42">
        <v>144</v>
      </c>
      <c r="AC10" s="42">
        <v>146</v>
      </c>
      <c r="AD10" s="42">
        <v>164</v>
      </c>
      <c r="AH10">
        <f>IF(AND(AM4+0&gt;16,AM4+0&lt;=25),25,0)</f>
        <v>0</v>
      </c>
    </row>
    <row r="11" spans="12:40">
      <c r="U11" s="54">
        <v>50</v>
      </c>
      <c r="V11" s="42">
        <v>99</v>
      </c>
      <c r="W11" s="42">
        <v>108</v>
      </c>
      <c r="X11" s="42">
        <v>118</v>
      </c>
      <c r="Y11" s="42">
        <v>130</v>
      </c>
      <c r="Z11" s="42">
        <v>141</v>
      </c>
      <c r="AA11" s="42">
        <v>154</v>
      </c>
      <c r="AB11" s="42">
        <v>175</v>
      </c>
      <c r="AC11" s="42">
        <v>175</v>
      </c>
      <c r="AD11" s="42">
        <v>198</v>
      </c>
      <c r="AH11">
        <f>IF(AND(AM4+0&gt;25,AM4+0&lt;=35),35,0)</f>
        <v>0</v>
      </c>
    </row>
    <row r="12" spans="12:40">
      <c r="U12" s="54">
        <v>70</v>
      </c>
      <c r="V12" s="42">
        <v>125</v>
      </c>
      <c r="W12" s="42">
        <v>136</v>
      </c>
      <c r="X12" s="42">
        <v>149</v>
      </c>
      <c r="Y12" s="42">
        <v>164</v>
      </c>
      <c r="Z12" s="42">
        <v>179</v>
      </c>
      <c r="AA12" s="42">
        <v>194</v>
      </c>
      <c r="AB12" s="42">
        <v>222</v>
      </c>
      <c r="AC12" s="42">
        <v>221</v>
      </c>
      <c r="AD12" s="42">
        <v>253</v>
      </c>
      <c r="AH12">
        <f>IF(AND(AM4+0&gt;35,AM4+0&lt;=50),50,0)</f>
        <v>0</v>
      </c>
    </row>
    <row r="13" spans="12:40">
      <c r="M13" s="7"/>
      <c r="U13" s="54">
        <v>95</v>
      </c>
      <c r="V13" s="42">
        <v>150</v>
      </c>
      <c r="W13" s="42">
        <v>164</v>
      </c>
      <c r="X13" s="42">
        <v>179</v>
      </c>
      <c r="Y13" s="42">
        <v>197</v>
      </c>
      <c r="Z13" s="42">
        <v>216</v>
      </c>
      <c r="AA13" s="42">
        <v>233</v>
      </c>
      <c r="AB13" s="42">
        <v>269</v>
      </c>
      <c r="AC13" s="42">
        <v>265</v>
      </c>
      <c r="AD13" s="42">
        <v>306</v>
      </c>
      <c r="AH13">
        <f>IF(AND(AM4+0&gt;50,AM4+0&lt;=70),70,0)</f>
        <v>0</v>
      </c>
    </row>
    <row r="14" spans="12:40">
      <c r="U14" s="54">
        <v>120</v>
      </c>
      <c r="V14" s="42">
        <v>172</v>
      </c>
      <c r="W14" s="42">
        <v>188</v>
      </c>
      <c r="X14" s="42">
        <v>206</v>
      </c>
      <c r="Y14" s="42">
        <v>227</v>
      </c>
      <c r="Z14" s="42">
        <v>249</v>
      </c>
      <c r="AA14" s="42">
        <v>268</v>
      </c>
      <c r="AB14" s="42">
        <v>312</v>
      </c>
      <c r="AC14" s="42">
        <v>305</v>
      </c>
      <c r="AD14" s="42">
        <v>354</v>
      </c>
      <c r="AH14">
        <f>IF(AND(AM4+0&gt;70,AM4+0&lt;=95),95,0)</f>
        <v>0</v>
      </c>
    </row>
    <row r="15" spans="12:40">
      <c r="U15" s="54">
        <v>150</v>
      </c>
      <c r="V15" s="42">
        <v>196</v>
      </c>
      <c r="W15" s="42">
        <v>216</v>
      </c>
      <c r="X15" s="42">
        <v>240</v>
      </c>
      <c r="Y15" s="42">
        <v>259</v>
      </c>
      <c r="Z15" s="42">
        <v>285</v>
      </c>
      <c r="AA15" s="42">
        <v>318</v>
      </c>
      <c r="AB15" s="42"/>
      <c r="AC15" s="42">
        <v>371</v>
      </c>
      <c r="AD15" s="42">
        <v>441</v>
      </c>
      <c r="AH15">
        <f>IF(AND(AM4+0&gt;95,AM4+0&lt;=120),120,0)</f>
        <v>120</v>
      </c>
    </row>
    <row r="16" spans="12:40">
      <c r="U16" s="54">
        <v>185</v>
      </c>
      <c r="V16" s="42">
        <v>223</v>
      </c>
      <c r="W16" s="42">
        <v>245</v>
      </c>
      <c r="X16" s="42">
        <v>273</v>
      </c>
      <c r="Y16" s="42">
        <v>295</v>
      </c>
      <c r="Z16" s="42">
        <v>324</v>
      </c>
      <c r="AA16" s="42">
        <v>362</v>
      </c>
      <c r="AB16" s="42"/>
      <c r="AC16" s="42">
        <v>424</v>
      </c>
      <c r="AD16" s="42">
        <v>506</v>
      </c>
      <c r="AH16">
        <f>IF(AND(AM4+0&gt;120,AM4+0&lt;=150),150,0)</f>
        <v>0</v>
      </c>
    </row>
    <row r="17" spans="21:34">
      <c r="U17" s="54">
        <v>240</v>
      </c>
      <c r="V17" s="42">
        <v>261</v>
      </c>
      <c r="W17" s="42">
        <v>286</v>
      </c>
      <c r="X17" s="42">
        <v>321</v>
      </c>
      <c r="Y17" s="42">
        <v>346</v>
      </c>
      <c r="Z17" s="42">
        <v>380</v>
      </c>
      <c r="AA17" s="42">
        <v>424</v>
      </c>
      <c r="AB17" s="42"/>
      <c r="AC17" s="42">
        <v>500</v>
      </c>
      <c r="AD17" s="42">
        <v>599</v>
      </c>
      <c r="AH17">
        <f>IF(AND(AM4+0&gt;150,AM4+0&lt;=185),185,0)</f>
        <v>0</v>
      </c>
    </row>
    <row r="18" spans="21:34">
      <c r="U18" s="54">
        <v>300</v>
      </c>
      <c r="V18" s="42">
        <v>298</v>
      </c>
      <c r="W18" s="42">
        <v>328</v>
      </c>
      <c r="X18" s="42">
        <v>367</v>
      </c>
      <c r="Y18" s="42">
        <v>396</v>
      </c>
      <c r="Z18" s="42">
        <v>435</v>
      </c>
      <c r="AA18" s="42">
        <v>486</v>
      </c>
      <c r="AB18" s="42"/>
      <c r="AC18" s="42">
        <v>576</v>
      </c>
      <c r="AD18" s="42">
        <v>693</v>
      </c>
      <c r="AH18">
        <f>IF(AND(AM4+0&gt;185,AM4+0&lt;=240),240,0)</f>
        <v>0</v>
      </c>
    </row>
    <row r="19" spans="21:34">
      <c r="U19" s="203" t="s">
        <v>132</v>
      </c>
      <c r="V19" s="204"/>
      <c r="W19" s="204"/>
      <c r="X19" s="204"/>
      <c r="Y19" s="204"/>
      <c r="Z19" s="204"/>
      <c r="AA19" s="204"/>
      <c r="AB19" s="204"/>
      <c r="AC19" s="204"/>
      <c r="AD19" s="205"/>
      <c r="AH19">
        <f>IF(AND(AM4+0&gt;240,AM4+0&lt;=300),300,0)</f>
        <v>0</v>
      </c>
    </row>
    <row r="20" spans="21:34">
      <c r="U20" s="203" t="s">
        <v>133</v>
      </c>
      <c r="V20" s="204"/>
      <c r="W20" s="204"/>
      <c r="X20" s="204"/>
      <c r="Y20" s="204"/>
      <c r="Z20" s="204"/>
      <c r="AA20" s="204"/>
      <c r="AB20" s="204"/>
      <c r="AC20" s="204"/>
      <c r="AD20" s="205"/>
      <c r="AH20" t="str">
        <f>IF(AM4+0&gt;300,"Δεν υπαρχει Διατομη καλωδίου παρακαλω αυξηστε την πτωση τασης ή με βαση την ενταση χρησιμοποιηστε συνδιασμό διατομών ανα φαση","ΕΠΙΛΟΓΗ ΚΑΤΑΛΛΗΛΗΣ ΔΙΑΤΟΜΗΣ ΑΠΟ ΤΟΥΣ ΠΙΝΑΚΕΣ ΜΕ ΒΑΣΗ ΤΑ ΑΠΟΤΕΛΕΣΜΑΤΑ ΠΡΟΣΟΧΗ ΣΤΗ ΘΕΡΜΟΚΡΑΣΙΑ, ΣΤΟΥΣ ΑΓΩΓΟΥΣ, ΣΤΗ ΔΙΕΛΕΥΣΗ")</f>
        <v>ΕΠΙΛΟΓΗ ΚΑΤΑΛΛΗΛΗΣ ΔΙΑΤΟΜΗΣ ΑΠΟ ΤΟΥΣ ΠΙΝΑΚΕΣ ΜΕ ΒΑΣΗ ΤΑ ΑΠΟΤΕΛΕΣΜΑΤΑ ΠΡΟΣΟΧΗ ΣΤΗ ΘΕΡΜΟΚΡΑΣΙΑ, ΣΤΟΥΣ ΑΓΩΓΟΥΣ, ΣΤΗ ΔΙΕΛΕΥΣΗ</v>
      </c>
    </row>
    <row r="21" spans="21:34">
      <c r="U21" s="203" t="s">
        <v>134</v>
      </c>
      <c r="V21" s="204"/>
      <c r="W21" s="204"/>
      <c r="X21" s="204"/>
      <c r="Y21" s="204"/>
      <c r="Z21" s="204"/>
      <c r="AA21" s="204"/>
      <c r="AB21" s="204"/>
      <c r="AC21" s="204"/>
      <c r="AD21" s="205"/>
    </row>
    <row r="22" spans="21:34" ht="15.75" thickBot="1">
      <c r="U22" s="206" t="s">
        <v>135</v>
      </c>
      <c r="V22" s="207"/>
      <c r="W22" s="207"/>
      <c r="X22" s="207"/>
      <c r="Y22" s="207"/>
      <c r="Z22" s="207"/>
      <c r="AA22" s="207"/>
      <c r="AB22" s="207"/>
      <c r="AC22" s="207"/>
      <c r="AD22" s="208"/>
    </row>
    <row r="24" spans="21:34">
      <c r="V24" s="40">
        <v>30</v>
      </c>
      <c r="W24" s="40">
        <v>35</v>
      </c>
      <c r="X24" s="40">
        <v>40</v>
      </c>
      <c r="Y24" s="40">
        <v>45</v>
      </c>
      <c r="Z24" s="40">
        <v>50</v>
      </c>
      <c r="AA24" s="40">
        <v>55</v>
      </c>
    </row>
    <row r="25" spans="21:34" ht="45">
      <c r="V25" s="185" t="s">
        <v>181</v>
      </c>
      <c r="W25" s="185" t="s">
        <v>182</v>
      </c>
    </row>
    <row r="26" spans="21:34">
      <c r="U26" t="s">
        <v>186</v>
      </c>
      <c r="V26" t="s">
        <v>131</v>
      </c>
    </row>
    <row r="27" spans="21:34" ht="30">
      <c r="U27" s="181">
        <v>30</v>
      </c>
      <c r="V27" s="180" t="s">
        <v>125</v>
      </c>
      <c r="W27" s="181">
        <v>35</v>
      </c>
      <c r="X27" s="180" t="s">
        <v>125</v>
      </c>
      <c r="Y27" s="181">
        <v>40</v>
      </c>
      <c r="Z27" s="180" t="s">
        <v>125</v>
      </c>
      <c r="AA27" s="181">
        <v>45</v>
      </c>
      <c r="AB27" s="180" t="s">
        <v>125</v>
      </c>
      <c r="AC27" s="181">
        <v>50</v>
      </c>
      <c r="AD27" s="180" t="s">
        <v>125</v>
      </c>
      <c r="AE27" s="181">
        <v>55</v>
      </c>
      <c r="AF27" s="180" t="s">
        <v>125</v>
      </c>
    </row>
    <row r="28" spans="21:34" ht="60">
      <c r="U28" s="183" t="s">
        <v>122</v>
      </c>
      <c r="V28" s="182" t="s">
        <v>126</v>
      </c>
      <c r="W28" s="183" t="s">
        <v>122</v>
      </c>
      <c r="X28" s="182" t="s">
        <v>126</v>
      </c>
      <c r="Y28" s="183" t="s">
        <v>122</v>
      </c>
      <c r="Z28" s="182" t="s">
        <v>126</v>
      </c>
      <c r="AA28" s="183" t="s">
        <v>122</v>
      </c>
      <c r="AB28" s="182" t="s">
        <v>126</v>
      </c>
      <c r="AC28" s="183" t="s">
        <v>122</v>
      </c>
      <c r="AD28" s="182" t="s">
        <v>126</v>
      </c>
      <c r="AE28" s="183" t="s">
        <v>122</v>
      </c>
      <c r="AF28" s="182" t="s">
        <v>126</v>
      </c>
    </row>
    <row r="29" spans="21:34">
      <c r="U29" s="42">
        <v>6</v>
      </c>
      <c r="V29" s="184" t="s">
        <v>127</v>
      </c>
      <c r="W29" s="42">
        <v>6</v>
      </c>
      <c r="X29" s="184" t="s">
        <v>127</v>
      </c>
      <c r="Y29" s="42">
        <v>6</v>
      </c>
      <c r="Z29" s="184" t="s">
        <v>127</v>
      </c>
      <c r="AA29" s="42">
        <v>6</v>
      </c>
      <c r="AB29" s="184" t="s">
        <v>127</v>
      </c>
      <c r="AC29" s="42">
        <v>4</v>
      </c>
      <c r="AD29" s="184" t="s">
        <v>127</v>
      </c>
      <c r="AE29" s="42">
        <v>2</v>
      </c>
      <c r="AF29" s="184" t="s">
        <v>127</v>
      </c>
    </row>
    <row r="30" spans="21:34">
      <c r="U30" s="42">
        <v>10</v>
      </c>
      <c r="V30" s="184">
        <v>1.5</v>
      </c>
      <c r="W30" s="42">
        <v>10</v>
      </c>
      <c r="X30" s="184">
        <v>1.5</v>
      </c>
      <c r="Y30" s="42">
        <v>10</v>
      </c>
      <c r="Z30" s="184">
        <v>1.5</v>
      </c>
      <c r="AA30" s="42">
        <v>10</v>
      </c>
      <c r="AB30" s="184">
        <v>1.5</v>
      </c>
      <c r="AC30" s="42">
        <v>10</v>
      </c>
      <c r="AD30" s="184">
        <v>1.5</v>
      </c>
      <c r="AE30" s="42">
        <v>6</v>
      </c>
      <c r="AF30" s="184">
        <v>1.5</v>
      </c>
      <c r="AG30">
        <f>VLOOKUP(AG48+0,U29:V45,2)</f>
        <v>16</v>
      </c>
      <c r="AH30" s="194">
        <f>CHOOSE(AH60,AG30,AG31,AG32,AG33,AG34,AG35)</f>
        <v>16</v>
      </c>
    </row>
    <row r="31" spans="21:34">
      <c r="U31" s="42">
        <v>16</v>
      </c>
      <c r="V31" s="184">
        <v>2.5</v>
      </c>
      <c r="W31" s="42">
        <v>16</v>
      </c>
      <c r="X31" s="184">
        <v>2.5</v>
      </c>
      <c r="Y31" s="42">
        <v>16</v>
      </c>
      <c r="Z31" s="184">
        <v>2.5</v>
      </c>
      <c r="AA31" s="42">
        <v>16</v>
      </c>
      <c r="AB31" s="184">
        <v>2.5</v>
      </c>
      <c r="AC31" s="42">
        <v>16</v>
      </c>
      <c r="AD31" s="184">
        <v>2.5</v>
      </c>
      <c r="AE31" s="42">
        <v>10</v>
      </c>
      <c r="AF31" s="184">
        <v>2.5</v>
      </c>
      <c r="AG31">
        <f>VLOOKUP(AG48+0,W29:X45,2)</f>
        <v>25</v>
      </c>
    </row>
    <row r="32" spans="21:34">
      <c r="U32" s="42">
        <v>25</v>
      </c>
      <c r="V32" s="184">
        <v>4</v>
      </c>
      <c r="W32" s="42">
        <v>25</v>
      </c>
      <c r="X32" s="184">
        <v>4</v>
      </c>
      <c r="Y32" s="42">
        <v>20</v>
      </c>
      <c r="Z32" s="184">
        <v>4</v>
      </c>
      <c r="AA32" s="42">
        <v>20</v>
      </c>
      <c r="AB32" s="184">
        <v>4</v>
      </c>
      <c r="AC32" s="42">
        <v>16</v>
      </c>
      <c r="AD32" s="184">
        <v>4</v>
      </c>
      <c r="AE32" s="42">
        <v>16</v>
      </c>
      <c r="AF32" s="184">
        <v>4</v>
      </c>
      <c r="AG32">
        <f>VLOOKUP(AG48+0,Y29:Z45,2)</f>
        <v>35</v>
      </c>
    </row>
    <row r="33" spans="21:34">
      <c r="U33" s="42">
        <v>35</v>
      </c>
      <c r="V33" s="184">
        <v>6</v>
      </c>
      <c r="W33" s="42">
        <v>25</v>
      </c>
      <c r="X33" s="184">
        <v>6</v>
      </c>
      <c r="Y33" s="42">
        <v>25</v>
      </c>
      <c r="Z33" s="184">
        <v>6</v>
      </c>
      <c r="AA33" s="42">
        <v>25</v>
      </c>
      <c r="AB33" s="184">
        <v>6</v>
      </c>
      <c r="AC33" s="42">
        <v>25</v>
      </c>
      <c r="AD33" s="184">
        <v>6</v>
      </c>
      <c r="AE33" s="42">
        <v>20</v>
      </c>
      <c r="AF33" s="184">
        <v>6</v>
      </c>
      <c r="AG33">
        <f>VLOOKUP(AG48+0,AA29:AB45,2)</f>
        <v>35</v>
      </c>
    </row>
    <row r="34" spans="21:34">
      <c r="U34" s="42">
        <v>50</v>
      </c>
      <c r="V34" s="184">
        <v>10</v>
      </c>
      <c r="W34" s="42">
        <v>35</v>
      </c>
      <c r="X34" s="184">
        <v>10</v>
      </c>
      <c r="Y34" s="42">
        <v>35</v>
      </c>
      <c r="Z34" s="184">
        <v>10</v>
      </c>
      <c r="AA34" s="42">
        <v>35</v>
      </c>
      <c r="AB34" s="184">
        <v>10</v>
      </c>
      <c r="AC34" s="42">
        <v>35</v>
      </c>
      <c r="AD34" s="184">
        <v>10</v>
      </c>
      <c r="AE34" s="42">
        <v>25</v>
      </c>
      <c r="AF34" s="184">
        <v>10</v>
      </c>
      <c r="AG34">
        <f>VLOOKUP(AG48+0,AC29:AD45,2)</f>
        <v>50</v>
      </c>
    </row>
    <row r="35" spans="21:34">
      <c r="U35" s="42">
        <v>63</v>
      </c>
      <c r="V35" s="184">
        <v>16</v>
      </c>
      <c r="W35" s="42">
        <v>63</v>
      </c>
      <c r="X35" s="184">
        <v>16</v>
      </c>
      <c r="Y35" s="42">
        <v>50</v>
      </c>
      <c r="Z35" s="184">
        <v>16</v>
      </c>
      <c r="AA35" s="42">
        <v>50</v>
      </c>
      <c r="AB35" s="184">
        <v>16</v>
      </c>
      <c r="AC35" s="42">
        <v>35</v>
      </c>
      <c r="AD35" s="184">
        <v>16</v>
      </c>
      <c r="AE35" s="42">
        <v>35</v>
      </c>
      <c r="AF35" s="184">
        <v>16</v>
      </c>
      <c r="AG35">
        <f>VLOOKUP(AG48+0,AE29:AF45,2)</f>
        <v>50</v>
      </c>
    </row>
    <row r="36" spans="21:34">
      <c r="U36" s="42">
        <v>100</v>
      </c>
      <c r="V36" s="184">
        <v>25</v>
      </c>
      <c r="W36" s="42">
        <v>80</v>
      </c>
      <c r="X36" s="184">
        <v>25</v>
      </c>
      <c r="Y36" s="42">
        <v>80</v>
      </c>
      <c r="Z36" s="184">
        <v>25</v>
      </c>
      <c r="AA36" s="42">
        <v>63</v>
      </c>
      <c r="AB36" s="184">
        <v>25</v>
      </c>
      <c r="AC36" s="42">
        <v>63</v>
      </c>
      <c r="AD36" s="184">
        <v>25</v>
      </c>
      <c r="AE36" s="42">
        <v>35</v>
      </c>
      <c r="AF36" s="184">
        <v>25</v>
      </c>
    </row>
    <row r="37" spans="21:34">
      <c r="U37" s="42">
        <v>100</v>
      </c>
      <c r="V37" s="184">
        <v>35</v>
      </c>
      <c r="W37" s="42">
        <v>100</v>
      </c>
      <c r="X37" s="184">
        <v>35</v>
      </c>
      <c r="Y37" s="42">
        <v>80</v>
      </c>
      <c r="Z37" s="184">
        <v>35</v>
      </c>
      <c r="AA37" s="42">
        <v>80</v>
      </c>
      <c r="AB37" s="184">
        <v>35</v>
      </c>
      <c r="AC37" s="42">
        <v>63</v>
      </c>
      <c r="AD37" s="184">
        <v>35</v>
      </c>
      <c r="AE37" s="42">
        <v>50</v>
      </c>
      <c r="AF37" s="184">
        <v>35</v>
      </c>
    </row>
    <row r="38" spans="21:34">
      <c r="U38" s="42">
        <v>125</v>
      </c>
      <c r="V38" s="184">
        <v>50</v>
      </c>
      <c r="W38" s="42">
        <v>100</v>
      </c>
      <c r="X38" s="184">
        <v>50</v>
      </c>
      <c r="Y38" s="42">
        <v>100</v>
      </c>
      <c r="Z38" s="184">
        <v>50</v>
      </c>
      <c r="AA38" s="42">
        <v>100</v>
      </c>
      <c r="AB38" s="184">
        <v>50</v>
      </c>
      <c r="AC38" s="42">
        <v>80</v>
      </c>
      <c r="AD38" s="184">
        <v>50</v>
      </c>
      <c r="AE38" s="42">
        <v>63</v>
      </c>
      <c r="AF38" s="184">
        <v>50</v>
      </c>
    </row>
    <row r="39" spans="21:34">
      <c r="U39" s="42">
        <v>160</v>
      </c>
      <c r="V39" s="184">
        <v>70</v>
      </c>
      <c r="W39" s="42">
        <v>125</v>
      </c>
      <c r="X39" s="184">
        <v>70</v>
      </c>
      <c r="Y39" s="42">
        <v>125</v>
      </c>
      <c r="Z39" s="184">
        <v>70</v>
      </c>
      <c r="AA39" s="42">
        <v>125</v>
      </c>
      <c r="AB39" s="184">
        <v>70</v>
      </c>
      <c r="AC39" s="42">
        <v>100</v>
      </c>
      <c r="AD39" s="184">
        <v>70</v>
      </c>
      <c r="AE39" s="42">
        <v>100</v>
      </c>
      <c r="AF39" s="184">
        <v>70</v>
      </c>
    </row>
    <row r="40" spans="21:34">
      <c r="U40" s="42">
        <v>160</v>
      </c>
      <c r="V40" s="184">
        <v>95</v>
      </c>
      <c r="W40" s="42">
        <v>160</v>
      </c>
      <c r="X40" s="184">
        <v>95</v>
      </c>
      <c r="Y40" s="42">
        <v>160</v>
      </c>
      <c r="Z40" s="184">
        <v>95</v>
      </c>
      <c r="AA40" s="42">
        <v>125</v>
      </c>
      <c r="AB40" s="184">
        <v>95</v>
      </c>
      <c r="AC40" s="42">
        <v>125</v>
      </c>
      <c r="AD40" s="184">
        <v>95</v>
      </c>
      <c r="AE40" s="42">
        <v>100</v>
      </c>
      <c r="AF40" s="184">
        <v>95</v>
      </c>
    </row>
    <row r="41" spans="21:34">
      <c r="U41" s="42">
        <v>200</v>
      </c>
      <c r="V41" s="184">
        <v>120</v>
      </c>
      <c r="W41" s="42">
        <v>200</v>
      </c>
      <c r="X41" s="184">
        <v>120</v>
      </c>
      <c r="Y41" s="42">
        <v>160</v>
      </c>
      <c r="Z41" s="184">
        <v>120</v>
      </c>
      <c r="AA41" s="42">
        <v>160</v>
      </c>
      <c r="AB41" s="184">
        <v>120</v>
      </c>
      <c r="AC41" s="42">
        <v>160</v>
      </c>
      <c r="AD41" s="184">
        <v>120</v>
      </c>
      <c r="AE41" s="42">
        <v>125</v>
      </c>
      <c r="AF41" s="184">
        <v>120</v>
      </c>
    </row>
    <row r="42" spans="21:34">
      <c r="U42" s="42">
        <v>250</v>
      </c>
      <c r="V42" s="184">
        <v>150</v>
      </c>
      <c r="W42" s="42">
        <v>200</v>
      </c>
      <c r="X42" s="184">
        <v>150</v>
      </c>
      <c r="Y42" s="42">
        <v>200</v>
      </c>
      <c r="Z42" s="184">
        <v>150</v>
      </c>
      <c r="AA42" s="42">
        <v>200</v>
      </c>
      <c r="AB42" s="184">
        <v>150</v>
      </c>
      <c r="AC42" s="42">
        <v>160</v>
      </c>
      <c r="AD42" s="184">
        <v>150</v>
      </c>
      <c r="AE42" s="42">
        <v>125</v>
      </c>
      <c r="AF42" s="184">
        <v>150</v>
      </c>
    </row>
    <row r="43" spans="21:34">
      <c r="U43" s="42">
        <v>250</v>
      </c>
      <c r="V43" s="184">
        <v>185</v>
      </c>
      <c r="W43" s="42">
        <v>250</v>
      </c>
      <c r="X43" s="184">
        <v>185</v>
      </c>
      <c r="Y43" s="42">
        <v>250</v>
      </c>
      <c r="Z43" s="184">
        <v>185</v>
      </c>
      <c r="AA43" s="42">
        <v>200</v>
      </c>
      <c r="AB43" s="184">
        <v>185</v>
      </c>
      <c r="AC43" s="42">
        <v>200</v>
      </c>
      <c r="AD43" s="184">
        <v>185</v>
      </c>
      <c r="AE43" s="42">
        <v>160</v>
      </c>
      <c r="AF43" s="184">
        <v>185</v>
      </c>
    </row>
    <row r="44" spans="21:34">
      <c r="U44" s="42">
        <v>300</v>
      </c>
      <c r="V44" s="184">
        <v>240</v>
      </c>
      <c r="W44" s="42">
        <v>300</v>
      </c>
      <c r="X44" s="184">
        <v>240</v>
      </c>
      <c r="Y44" s="42">
        <v>300</v>
      </c>
      <c r="Z44" s="184">
        <v>240</v>
      </c>
      <c r="AA44" s="42">
        <v>250</v>
      </c>
      <c r="AB44" s="184">
        <v>240</v>
      </c>
      <c r="AC44" s="42">
        <v>225</v>
      </c>
      <c r="AD44" s="184">
        <v>240</v>
      </c>
      <c r="AE44" s="42">
        <v>200</v>
      </c>
      <c r="AF44" s="184">
        <v>240</v>
      </c>
    </row>
    <row r="45" spans="21:34">
      <c r="U45" s="42">
        <v>350</v>
      </c>
      <c r="V45" s="184">
        <v>300</v>
      </c>
      <c r="W45" s="42">
        <v>350</v>
      </c>
      <c r="X45" s="184">
        <v>300</v>
      </c>
      <c r="Y45" s="42">
        <v>300</v>
      </c>
      <c r="Z45" s="184">
        <v>300</v>
      </c>
      <c r="AA45" s="42">
        <v>250</v>
      </c>
      <c r="AB45" s="184">
        <v>300</v>
      </c>
      <c r="AC45" s="42">
        <v>250</v>
      </c>
      <c r="AD45" s="184">
        <v>300</v>
      </c>
      <c r="AE45" s="42">
        <v>225</v>
      </c>
      <c r="AF45" s="184">
        <v>300</v>
      </c>
    </row>
    <row r="47" spans="21:34">
      <c r="U47" s="195"/>
      <c r="V47" s="195"/>
      <c r="W47" s="195"/>
      <c r="X47" s="195"/>
      <c r="Y47" s="195"/>
      <c r="Z47" s="195"/>
      <c r="AA47" s="195"/>
    </row>
    <row r="48" spans="21:34">
      <c r="U48" s="190">
        <v>1</v>
      </c>
      <c r="V48" s="196"/>
      <c r="W48" s="196"/>
      <c r="X48" s="196"/>
      <c r="Y48" s="196"/>
      <c r="Z48" s="196"/>
      <c r="AA48" s="196"/>
      <c r="AF48" s="54" t="s">
        <v>178</v>
      </c>
      <c r="AG48" s="189" t="str">
        <f>REPT(Φύλλο1!N25,1)</f>
        <v>98</v>
      </c>
      <c r="AH48" s="54"/>
    </row>
    <row r="49" spans="21:34">
      <c r="U49" s="190">
        <v>2</v>
      </c>
      <c r="V49" s="196"/>
      <c r="W49" s="196"/>
      <c r="X49" s="196"/>
      <c r="Y49" s="196"/>
      <c r="Z49" s="196"/>
      <c r="AA49" s="196"/>
    </row>
    <row r="50" spans="21:34">
      <c r="U50" s="190">
        <v>3</v>
      </c>
      <c r="V50" s="195"/>
      <c r="W50" s="195"/>
      <c r="X50" s="195"/>
      <c r="Y50" s="195"/>
      <c r="Z50" s="195"/>
      <c r="AA50" s="195"/>
      <c r="AF50" s="178" t="s">
        <v>126</v>
      </c>
      <c r="AH50" s="4"/>
    </row>
    <row r="51" spans="21:34">
      <c r="U51" s="191">
        <v>4</v>
      </c>
      <c r="V51" s="195"/>
      <c r="W51" s="195"/>
      <c r="X51" s="195"/>
      <c r="Y51" s="195"/>
      <c r="Z51" s="195"/>
      <c r="AA51" s="195"/>
    </row>
    <row r="52" spans="21:34">
      <c r="U52" s="191">
        <v>5</v>
      </c>
      <c r="V52" s="195"/>
      <c r="W52" s="195"/>
      <c r="X52" s="195"/>
      <c r="Y52" s="195"/>
      <c r="Z52" s="195"/>
      <c r="AA52" s="195"/>
    </row>
    <row r="53" spans="21:34">
      <c r="U53" s="191">
        <v>6</v>
      </c>
      <c r="V53" s="195"/>
      <c r="W53" s="195"/>
      <c r="X53" s="195"/>
      <c r="Y53" s="195"/>
      <c r="Z53" s="195"/>
      <c r="AA53" s="195"/>
    </row>
    <row r="54" spans="21:34">
      <c r="U54" s="191">
        <v>7</v>
      </c>
      <c r="V54" s="195"/>
      <c r="W54" s="195"/>
      <c r="X54" s="195"/>
      <c r="Y54" s="195"/>
      <c r="Z54" s="195"/>
      <c r="AA54" s="195"/>
    </row>
    <row r="55" spans="21:34">
      <c r="U55" s="196"/>
      <c r="V55" s="195"/>
      <c r="W55" s="195"/>
      <c r="X55" s="195"/>
      <c r="Y55" s="195"/>
      <c r="Z55" s="195"/>
      <c r="AA55" s="195"/>
    </row>
    <row r="56" spans="21:34">
      <c r="U56" s="196"/>
      <c r="V56" s="195"/>
      <c r="W56" s="195"/>
      <c r="X56" s="195"/>
      <c r="Y56" s="195"/>
      <c r="Z56" s="195"/>
      <c r="AA56" s="195"/>
    </row>
    <row r="57" spans="21:34">
      <c r="U57" s="181">
        <v>30</v>
      </c>
      <c r="V57" s="181">
        <v>35</v>
      </c>
      <c r="W57" s="181">
        <v>40</v>
      </c>
      <c r="X57" s="181">
        <v>45</v>
      </c>
      <c r="Y57" s="181">
        <v>50</v>
      </c>
      <c r="Z57" s="181">
        <v>55</v>
      </c>
    </row>
    <row r="59" spans="21:34" ht="60">
      <c r="U59" s="183" t="s">
        <v>122</v>
      </c>
      <c r="V59" s="182" t="s">
        <v>126</v>
      </c>
      <c r="W59" s="183" t="s">
        <v>122</v>
      </c>
      <c r="X59" s="182" t="s">
        <v>126</v>
      </c>
      <c r="Y59" s="183" t="s">
        <v>122</v>
      </c>
      <c r="Z59" s="182" t="s">
        <v>126</v>
      </c>
      <c r="AA59" s="183" t="s">
        <v>122</v>
      </c>
      <c r="AB59" s="182" t="s">
        <v>126</v>
      </c>
      <c r="AC59" s="183" t="s">
        <v>122</v>
      </c>
      <c r="AD59" s="182" t="s">
        <v>126</v>
      </c>
      <c r="AE59" s="183" t="s">
        <v>122</v>
      </c>
      <c r="AF59" s="182" t="s">
        <v>126</v>
      </c>
    </row>
    <row r="60" spans="21:34">
      <c r="U60" s="42">
        <v>20</v>
      </c>
      <c r="V60" s="184">
        <v>1.5</v>
      </c>
      <c r="W60" s="42">
        <v>16</v>
      </c>
      <c r="X60" s="184">
        <v>1.5</v>
      </c>
      <c r="Y60" s="42">
        <v>16</v>
      </c>
      <c r="Z60" s="184">
        <v>1.5</v>
      </c>
      <c r="AA60" s="42">
        <v>10</v>
      </c>
      <c r="AB60" s="184">
        <v>1.5</v>
      </c>
      <c r="AC60" s="42">
        <v>10</v>
      </c>
      <c r="AD60" s="184">
        <v>1.5</v>
      </c>
      <c r="AE60" s="42">
        <v>6</v>
      </c>
      <c r="AF60" s="184">
        <v>1.5</v>
      </c>
      <c r="AG60" s="192"/>
      <c r="AH60">
        <f>MATCH(M7,U57:Z57,1)</f>
        <v>1</v>
      </c>
    </row>
    <row r="61" spans="21:34">
      <c r="U61" s="42">
        <v>25</v>
      </c>
      <c r="V61" s="184">
        <v>2.5</v>
      </c>
      <c r="W61" s="42">
        <v>25</v>
      </c>
      <c r="X61" s="184">
        <v>2.5</v>
      </c>
      <c r="Y61" s="42">
        <v>25</v>
      </c>
      <c r="Z61" s="184">
        <v>2.5</v>
      </c>
      <c r="AA61" s="42">
        <v>20</v>
      </c>
      <c r="AB61" s="184">
        <v>2.5</v>
      </c>
      <c r="AC61" s="42">
        <v>16</v>
      </c>
      <c r="AD61" s="184">
        <v>2.5</v>
      </c>
      <c r="AE61" s="42">
        <v>10</v>
      </c>
      <c r="AF61" s="184">
        <v>2.5</v>
      </c>
      <c r="AG61">
        <f>VLOOKUP(AG48+0,U58:V77,2)</f>
        <v>16</v>
      </c>
      <c r="AH61" s="194">
        <f>CHOOSE(AH60,AG61,AG62,AG63,AG64,AG65,AG66)</f>
        <v>16</v>
      </c>
    </row>
    <row r="62" spans="21:34">
      <c r="U62" s="42">
        <v>35</v>
      </c>
      <c r="V62" s="184">
        <v>4</v>
      </c>
      <c r="W62" s="42">
        <v>35</v>
      </c>
      <c r="X62" s="184">
        <v>4</v>
      </c>
      <c r="Y62" s="42">
        <v>25</v>
      </c>
      <c r="Z62" s="184">
        <v>4</v>
      </c>
      <c r="AA62" s="42">
        <v>25</v>
      </c>
      <c r="AB62" s="184">
        <v>4</v>
      </c>
      <c r="AC62" s="42">
        <v>20</v>
      </c>
      <c r="AD62" s="184">
        <v>4</v>
      </c>
      <c r="AE62" s="42">
        <v>16</v>
      </c>
      <c r="AF62" s="184">
        <v>4</v>
      </c>
      <c r="AG62">
        <f>VLOOKUP(AG48+0,W58:X77,2)</f>
        <v>16</v>
      </c>
    </row>
    <row r="63" spans="21:34">
      <c r="U63" s="42">
        <v>50</v>
      </c>
      <c r="V63" s="184">
        <v>6</v>
      </c>
      <c r="W63" s="42">
        <v>35</v>
      </c>
      <c r="X63" s="184">
        <v>6</v>
      </c>
      <c r="Y63" s="42">
        <v>35</v>
      </c>
      <c r="Z63" s="184">
        <v>6</v>
      </c>
      <c r="AA63" s="42">
        <v>35</v>
      </c>
      <c r="AB63" s="184">
        <v>6</v>
      </c>
      <c r="AC63" s="42">
        <v>25</v>
      </c>
      <c r="AD63" s="184">
        <v>6</v>
      </c>
      <c r="AE63" s="42">
        <v>20</v>
      </c>
      <c r="AF63" s="184">
        <v>6</v>
      </c>
      <c r="AG63">
        <f>VLOOKUP(AG48+0,Y58:Z77,2)</f>
        <v>16</v>
      </c>
    </row>
    <row r="64" spans="21:34">
      <c r="U64" s="42">
        <v>63</v>
      </c>
      <c r="V64" s="184">
        <v>10</v>
      </c>
      <c r="W64" s="42">
        <v>50</v>
      </c>
      <c r="X64" s="184">
        <v>10</v>
      </c>
      <c r="Y64" s="42">
        <v>50</v>
      </c>
      <c r="Z64" s="184">
        <v>10</v>
      </c>
      <c r="AA64" s="42">
        <v>35</v>
      </c>
      <c r="AB64" s="184">
        <v>10</v>
      </c>
      <c r="AC64" s="42">
        <v>35</v>
      </c>
      <c r="AD64" s="184">
        <v>10</v>
      </c>
      <c r="AE64" s="42">
        <v>25</v>
      </c>
      <c r="AF64" s="184">
        <v>10</v>
      </c>
      <c r="AG64">
        <f>VLOOKUP(AG48+0,AA58:AB77,2)</f>
        <v>25</v>
      </c>
    </row>
    <row r="65" spans="21:33">
      <c r="U65" s="42">
        <v>80</v>
      </c>
      <c r="V65" s="184">
        <v>16</v>
      </c>
      <c r="W65" s="42">
        <v>80</v>
      </c>
      <c r="X65" s="184">
        <v>16</v>
      </c>
      <c r="Y65" s="42">
        <v>63</v>
      </c>
      <c r="Z65" s="184">
        <v>16</v>
      </c>
      <c r="AA65" s="42">
        <v>63</v>
      </c>
      <c r="AB65" s="184">
        <v>16</v>
      </c>
      <c r="AC65" s="42">
        <v>50</v>
      </c>
      <c r="AD65" s="184">
        <v>16</v>
      </c>
      <c r="AE65" s="42">
        <v>35</v>
      </c>
      <c r="AF65" s="184">
        <v>16</v>
      </c>
      <c r="AG65">
        <f>VLOOKUP(AG48+0,AC58:AD77,2)</f>
        <v>35</v>
      </c>
    </row>
    <row r="66" spans="21:33">
      <c r="U66" s="42">
        <v>125</v>
      </c>
      <c r="V66" s="184">
        <v>25</v>
      </c>
      <c r="W66" s="42">
        <v>100</v>
      </c>
      <c r="X66" s="184">
        <v>25</v>
      </c>
      <c r="Y66" s="42">
        <v>100</v>
      </c>
      <c r="Z66" s="184">
        <v>25</v>
      </c>
      <c r="AA66" s="42">
        <v>80</v>
      </c>
      <c r="AB66" s="184">
        <v>25</v>
      </c>
      <c r="AC66" s="42">
        <v>63</v>
      </c>
      <c r="AD66" s="184">
        <v>25</v>
      </c>
      <c r="AE66" s="42">
        <v>50</v>
      </c>
      <c r="AF66" s="184">
        <v>25</v>
      </c>
      <c r="AG66">
        <f>VLOOKUP(AG48+0,AE58:AF77,2)</f>
        <v>70</v>
      </c>
    </row>
    <row r="67" spans="21:33">
      <c r="U67" s="42">
        <v>125</v>
      </c>
      <c r="V67" s="184">
        <v>35</v>
      </c>
      <c r="W67" s="42">
        <v>125</v>
      </c>
      <c r="X67" s="184">
        <v>35</v>
      </c>
      <c r="Y67" s="42">
        <v>125</v>
      </c>
      <c r="Z67" s="184">
        <v>35</v>
      </c>
      <c r="AA67" s="42">
        <v>100</v>
      </c>
      <c r="AB67" s="184">
        <v>35</v>
      </c>
      <c r="AC67" s="42">
        <v>80</v>
      </c>
      <c r="AD67" s="184">
        <v>35</v>
      </c>
      <c r="AE67" s="42">
        <v>63</v>
      </c>
      <c r="AF67" s="184">
        <v>35</v>
      </c>
    </row>
    <row r="68" spans="21:33">
      <c r="U68" s="42">
        <v>160</v>
      </c>
      <c r="V68" s="184">
        <v>50</v>
      </c>
      <c r="W68" s="42">
        <v>160</v>
      </c>
      <c r="X68" s="184">
        <v>50</v>
      </c>
      <c r="Y68" s="42">
        <v>160</v>
      </c>
      <c r="Z68" s="184">
        <v>50</v>
      </c>
      <c r="AA68" s="42">
        <v>1250</v>
      </c>
      <c r="AB68" s="184">
        <v>50</v>
      </c>
      <c r="AC68" s="42">
        <v>100</v>
      </c>
      <c r="AD68" s="184">
        <v>50</v>
      </c>
      <c r="AE68" s="42">
        <v>80</v>
      </c>
      <c r="AF68" s="184">
        <v>50</v>
      </c>
    </row>
    <row r="69" spans="21:33">
      <c r="U69" s="42">
        <v>200</v>
      </c>
      <c r="V69" s="184">
        <v>70</v>
      </c>
      <c r="W69" s="42">
        <v>200</v>
      </c>
      <c r="X69" s="184">
        <v>70</v>
      </c>
      <c r="Y69" s="42">
        <v>160</v>
      </c>
      <c r="Z69" s="184">
        <v>70</v>
      </c>
      <c r="AA69" s="42">
        <v>160</v>
      </c>
      <c r="AB69" s="184">
        <v>70</v>
      </c>
      <c r="AC69" s="42">
        <v>125</v>
      </c>
      <c r="AD69" s="184">
        <v>70</v>
      </c>
      <c r="AE69" s="42">
        <v>80</v>
      </c>
      <c r="AF69" s="184">
        <v>70</v>
      </c>
    </row>
    <row r="70" spans="21:33">
      <c r="U70" s="42">
        <v>250</v>
      </c>
      <c r="V70" s="184">
        <v>95</v>
      </c>
      <c r="W70" s="42">
        <v>200</v>
      </c>
      <c r="X70" s="184">
        <v>95</v>
      </c>
      <c r="Y70" s="42">
        <v>200</v>
      </c>
      <c r="Z70" s="184">
        <v>95</v>
      </c>
      <c r="AA70" s="42">
        <v>160</v>
      </c>
      <c r="AB70" s="184">
        <v>95</v>
      </c>
      <c r="AC70" s="42">
        <v>125</v>
      </c>
      <c r="AD70" s="184">
        <v>95</v>
      </c>
      <c r="AE70" s="42">
        <v>100</v>
      </c>
      <c r="AF70" s="184">
        <v>95</v>
      </c>
    </row>
    <row r="71" spans="21:33">
      <c r="U71" s="42">
        <v>300</v>
      </c>
      <c r="V71" s="184">
        <v>120</v>
      </c>
      <c r="W71" s="42">
        <v>300</v>
      </c>
      <c r="X71" s="184">
        <v>120</v>
      </c>
      <c r="Y71" s="42">
        <v>250</v>
      </c>
      <c r="Z71" s="184">
        <v>120</v>
      </c>
      <c r="AA71" s="42">
        <v>200</v>
      </c>
      <c r="AB71" s="184">
        <v>120</v>
      </c>
      <c r="AC71" s="42">
        <v>160</v>
      </c>
      <c r="AD71" s="184">
        <v>120</v>
      </c>
      <c r="AE71" s="42">
        <v>125</v>
      </c>
      <c r="AF71" s="184">
        <v>120</v>
      </c>
    </row>
    <row r="72" spans="21:33">
      <c r="U72" s="42">
        <v>400</v>
      </c>
      <c r="V72" s="184">
        <v>185</v>
      </c>
      <c r="W72" s="42">
        <v>350</v>
      </c>
      <c r="X72" s="184">
        <v>185</v>
      </c>
      <c r="Y72" s="42">
        <v>350</v>
      </c>
      <c r="Z72" s="184">
        <v>185</v>
      </c>
      <c r="AA72" s="42">
        <v>300</v>
      </c>
      <c r="AB72" s="184">
        <v>185</v>
      </c>
      <c r="AC72" s="42">
        <v>250</v>
      </c>
      <c r="AD72" s="184">
        <v>185</v>
      </c>
      <c r="AE72" s="42">
        <v>160</v>
      </c>
      <c r="AF72" s="184">
        <v>185</v>
      </c>
    </row>
    <row r="73" spans="21:33">
      <c r="U73" s="42">
        <v>500</v>
      </c>
      <c r="V73" s="184">
        <v>240</v>
      </c>
      <c r="W73" s="42">
        <v>400</v>
      </c>
      <c r="X73" s="184">
        <v>240</v>
      </c>
      <c r="Y73" s="42">
        <v>400</v>
      </c>
      <c r="Z73" s="184">
        <v>240</v>
      </c>
      <c r="AA73" s="42">
        <v>350</v>
      </c>
      <c r="AB73" s="184">
        <v>240</v>
      </c>
      <c r="AC73" s="42">
        <v>250</v>
      </c>
      <c r="AD73" s="184">
        <v>240</v>
      </c>
      <c r="AE73" s="42">
        <v>200</v>
      </c>
      <c r="AF73" s="184">
        <v>240</v>
      </c>
    </row>
    <row r="74" spans="21:33">
      <c r="U74" s="42">
        <v>550</v>
      </c>
      <c r="V74" s="184">
        <v>300</v>
      </c>
      <c r="W74" s="42">
        <v>500</v>
      </c>
      <c r="X74" s="184">
        <v>300</v>
      </c>
      <c r="Y74" s="42">
        <v>400</v>
      </c>
      <c r="Z74" s="184">
        <v>300</v>
      </c>
      <c r="AA74" s="42">
        <v>400</v>
      </c>
      <c r="AB74" s="184">
        <v>300</v>
      </c>
      <c r="AC74" s="42">
        <v>300</v>
      </c>
      <c r="AD74" s="184">
        <v>300</v>
      </c>
      <c r="AE74" s="42">
        <v>200</v>
      </c>
      <c r="AF74" s="184">
        <v>300</v>
      </c>
    </row>
    <row r="75" spans="21:33">
      <c r="U75" s="42">
        <v>600</v>
      </c>
      <c r="V75" s="184">
        <v>375</v>
      </c>
      <c r="W75" s="42">
        <v>600</v>
      </c>
      <c r="X75" s="184">
        <v>375</v>
      </c>
      <c r="Y75" s="42">
        <v>500</v>
      </c>
      <c r="Z75" s="184">
        <v>375</v>
      </c>
      <c r="AA75" s="42">
        <v>400</v>
      </c>
      <c r="AB75" s="184">
        <v>375</v>
      </c>
      <c r="AC75" s="42">
        <v>350</v>
      </c>
      <c r="AD75" s="184">
        <v>375</v>
      </c>
      <c r="AE75" s="42">
        <v>250</v>
      </c>
      <c r="AF75" s="184">
        <v>375</v>
      </c>
    </row>
    <row r="76" spans="21:33">
      <c r="U76" s="42">
        <v>600</v>
      </c>
      <c r="V76" s="184">
        <v>400</v>
      </c>
      <c r="W76" s="42">
        <v>600</v>
      </c>
      <c r="X76" s="184">
        <v>400</v>
      </c>
      <c r="Y76" s="42">
        <v>500</v>
      </c>
      <c r="Z76" s="184">
        <v>400</v>
      </c>
      <c r="AA76" s="42">
        <v>500</v>
      </c>
      <c r="AB76" s="184">
        <v>400</v>
      </c>
      <c r="AC76" s="42">
        <v>400</v>
      </c>
      <c r="AD76" s="184">
        <v>400</v>
      </c>
      <c r="AE76" s="42">
        <v>250</v>
      </c>
      <c r="AF76" s="184">
        <v>400</v>
      </c>
    </row>
    <row r="77" spans="21:33">
      <c r="U77" s="42">
        <v>800</v>
      </c>
      <c r="V77" s="184">
        <v>500</v>
      </c>
      <c r="W77" s="42">
        <v>600</v>
      </c>
      <c r="X77" s="184">
        <v>500</v>
      </c>
      <c r="Y77" s="42">
        <v>600</v>
      </c>
      <c r="Z77" s="184">
        <v>500</v>
      </c>
      <c r="AA77" s="42">
        <v>500</v>
      </c>
      <c r="AB77" s="184">
        <v>500</v>
      </c>
      <c r="AC77" s="42">
        <v>400</v>
      </c>
      <c r="AD77" s="184">
        <v>500</v>
      </c>
      <c r="AE77" s="42">
        <v>350</v>
      </c>
      <c r="AF77" s="184">
        <v>500</v>
      </c>
    </row>
  </sheetData>
  <sheetProtection password="C71F" sheet="1" objects="1" scenarios="1"/>
  <mergeCells count="4">
    <mergeCell ref="U19:AD19"/>
    <mergeCell ref="U20:AD20"/>
    <mergeCell ref="U21:AD21"/>
    <mergeCell ref="U22:AD22"/>
  </mergeCells>
  <dataValidations count="3">
    <dataValidation type="list" allowBlank="1" showInputMessage="1" showErrorMessage="1" sqref="N8">
      <formula1>$U$48:$U$49</formula1>
    </dataValidation>
    <dataValidation type="list" allowBlank="1" showInputMessage="1" showErrorMessage="1" sqref="M7">
      <formula1>$U$57:$Z$57</formula1>
    </dataValidation>
    <dataValidation type="list" allowBlank="1" showInputMessage="1" showErrorMessage="1" sqref="M2">
      <formula1>$V$2:$AD$2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6</vt:i4>
      </vt:variant>
    </vt:vector>
  </HeadingPairs>
  <TitlesOfParts>
    <vt:vector size="8" baseType="lpstr">
      <vt:lpstr>Φύλλο1</vt:lpstr>
      <vt:lpstr>Φύλλο2</vt:lpstr>
      <vt:lpstr>a</vt:lpstr>
      <vt:lpstr>a3a</vt:lpstr>
      <vt:lpstr>k</vt:lpstr>
      <vt:lpstr>K1a</vt:lpstr>
      <vt:lpstr>MON</vt:lpstr>
      <vt:lpstr>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2012-02-24T09:50:50Z</dcterms:created>
  <dcterms:modified xsi:type="dcterms:W3CDTF">2012-03-05T07:56:46Z</dcterms:modified>
</cp:coreProperties>
</file>